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vinib\OneDrive\Área de Trabalho\"/>
    </mc:Choice>
  </mc:AlternateContent>
  <bookViews>
    <workbookView xWindow="-108" yWindow="-108" windowWidth="23256" windowHeight="12576"/>
  </bookViews>
  <sheets>
    <sheet name="Simulação" sheetId="12" r:id="rId1"/>
    <sheet name="CNAEs" sheetId="2" state="hidden" r:id="rId2"/>
    <sheet name="Idese-Corede" sheetId="6" state="hidden" r:id="rId3"/>
    <sheet name="Intensidade tecnológica" sheetId="4" state="hidden" r:id="rId4"/>
    <sheet name="IDESE" sheetId="11" state="hidden" r:id="rId5"/>
    <sheet name="Salário x Empregos" sheetId="7" state="hidden" r:id="rId6"/>
    <sheet name="Impacto ambiental" sheetId="5" state="hidden" r:id="rId7"/>
    <sheet name="Textos" sheetId="10" state="hidden" r:id="rId8"/>
    <sheet name="Faixas e condições" sheetId="8" state="hidden" r:id="rId9"/>
    <sheet name="Base de dados" sheetId="3" state="hidden" r:id="rId10"/>
  </sheets>
  <externalReferences>
    <externalReference r:id="rId11"/>
  </externalReferences>
  <definedNames>
    <definedName name="_xlnm._FilterDatabase" localSheetId="1" hidden="1">CNAEs!$B$2:$C$2</definedName>
    <definedName name="_xlnm._FilterDatabase" localSheetId="2" hidden="1">'Idese-Corede'!$B$2:$H$500</definedName>
    <definedName name="_xlnm.Print_Area" localSheetId="0">Simulação!$F$59:$Q$112</definedName>
    <definedName name="INTEGRAR">'[1]Índice Integrar'!$A$3:$F$498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1" i="12" l="1"/>
  <c r="O93" i="12" l="1"/>
  <c r="B14" i="10" s="1"/>
  <c r="N12" i="12" l="1"/>
  <c r="C24" i="8" l="1"/>
  <c r="C23" i="8"/>
  <c r="H16" i="12" l="1"/>
  <c r="O64" i="12" s="1"/>
  <c r="D25" i="8" s="1"/>
  <c r="G88" i="12" l="1"/>
  <c r="G87" i="12"/>
  <c r="G85" i="12"/>
  <c r="G96" i="12"/>
  <c r="D16" i="7" l="1"/>
  <c r="B6" i="10"/>
  <c r="Q41" i="12" l="1"/>
  <c r="Q48" i="12" s="1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C8" i="11"/>
  <c r="C7" i="11"/>
  <c r="C6" i="11"/>
  <c r="C5" i="11"/>
  <c r="C4" i="11"/>
  <c r="C3" i="11"/>
  <c r="B8" i="11"/>
  <c r="H8" i="11" s="1"/>
  <c r="B7" i="11"/>
  <c r="H7" i="11" s="1"/>
  <c r="B6" i="11"/>
  <c r="H6" i="11" s="1"/>
  <c r="B5" i="11"/>
  <c r="H5" i="11" s="1"/>
  <c r="B4" i="11"/>
  <c r="H4" i="11" s="1"/>
  <c r="B3" i="11"/>
  <c r="O76" i="12"/>
  <c r="O74" i="12"/>
  <c r="O15" i="12"/>
  <c r="F37" i="12"/>
  <c r="G16" i="7" l="1"/>
  <c r="H3" i="11"/>
  <c r="O69" i="12" s="1"/>
  <c r="O77" i="12" s="1"/>
  <c r="B3" i="10" s="1"/>
  <c r="F3" i="11"/>
  <c r="G20" i="3"/>
  <c r="C7" i="5"/>
  <c r="G81" i="12"/>
  <c r="G12" i="7" l="1"/>
  <c r="G7" i="7"/>
  <c r="G6" i="7"/>
  <c r="G5" i="7"/>
  <c r="G8" i="7"/>
  <c r="G4" i="7"/>
  <c r="G11" i="7"/>
  <c r="G9" i="7"/>
  <c r="G10" i="7"/>
  <c r="B4" i="10"/>
  <c r="G77" i="12"/>
  <c r="B2" i="10"/>
  <c r="O105" i="12"/>
  <c r="P105" i="12" s="1"/>
  <c r="O109" i="12" s="1"/>
  <c r="O108" i="12" l="1"/>
  <c r="O107" i="12"/>
  <c r="O106" i="12"/>
  <c r="D7" i="11"/>
  <c r="D8" i="11"/>
  <c r="E8" i="11" l="1"/>
  <c r="F8" i="11"/>
  <c r="G8" i="11"/>
  <c r="G7" i="11"/>
  <c r="F7" i="11"/>
  <c r="F6" i="11"/>
  <c r="G6" i="11"/>
  <c r="G5" i="11"/>
  <c r="F5" i="11"/>
  <c r="G4" i="11"/>
  <c r="F4" i="11"/>
  <c r="G3" i="11"/>
  <c r="E7" i="11"/>
  <c r="C9" i="11"/>
  <c r="D4" i="11" l="1"/>
  <c r="D5" i="11"/>
  <c r="D3" i="11"/>
  <c r="E3" i="11" s="1"/>
  <c r="D6" i="11"/>
  <c r="D9" i="11" l="1"/>
  <c r="E6" i="11"/>
  <c r="E5" i="11"/>
  <c r="E4" i="11"/>
  <c r="E9" i="11" l="1"/>
  <c r="C8" i="8" l="1"/>
  <c r="C7" i="8"/>
  <c r="C6" i="8"/>
  <c r="C5" i="8"/>
  <c r="C4" i="8"/>
  <c r="G79" i="12" l="1"/>
  <c r="G80" i="12"/>
  <c r="G78" i="12" l="1"/>
  <c r="E494" i="6" l="1"/>
  <c r="E416" i="6"/>
  <c r="E345" i="6"/>
  <c r="E303" i="6"/>
  <c r="E290" i="6"/>
  <c r="E102" i="6"/>
  <c r="E64" i="6"/>
  <c r="E388" i="6"/>
  <c r="E315" i="6"/>
  <c r="E284" i="6"/>
  <c r="E227" i="6"/>
  <c r="E185" i="6"/>
  <c r="E81" i="6"/>
  <c r="E477" i="6"/>
  <c r="E389" i="6"/>
  <c r="E385" i="6"/>
  <c r="E375" i="6"/>
  <c r="E368" i="6"/>
  <c r="E357" i="6"/>
  <c r="E339" i="6"/>
  <c r="E244" i="6"/>
  <c r="E241" i="6"/>
  <c r="E217" i="6"/>
  <c r="E215" i="6"/>
  <c r="E39" i="6"/>
  <c r="E472" i="6"/>
  <c r="E467" i="6"/>
  <c r="E461" i="6"/>
  <c r="E429" i="6"/>
  <c r="E397" i="6"/>
  <c r="E383" i="6"/>
  <c r="E371" i="6"/>
  <c r="E332" i="6"/>
  <c r="E331" i="6"/>
  <c r="E330" i="6"/>
  <c r="E292" i="6"/>
  <c r="E279" i="6"/>
  <c r="E209" i="6"/>
  <c r="E196" i="6"/>
  <c r="E142" i="6"/>
  <c r="E79" i="6"/>
  <c r="E73" i="6"/>
  <c r="E48" i="6"/>
  <c r="E10" i="6"/>
  <c r="E444" i="6"/>
  <c r="E434" i="6"/>
  <c r="E430" i="6"/>
  <c r="E390" i="6"/>
  <c r="E257" i="6"/>
  <c r="E249" i="6"/>
  <c r="E138" i="6"/>
  <c r="E126" i="6"/>
  <c r="E111" i="6"/>
  <c r="E107" i="6"/>
  <c r="E104" i="6"/>
  <c r="E69" i="6"/>
  <c r="E61" i="6"/>
  <c r="E40" i="6"/>
  <c r="E37" i="6"/>
  <c r="E28" i="6"/>
  <c r="E470" i="6"/>
  <c r="E454" i="6"/>
  <c r="E437" i="6"/>
  <c r="E414" i="6"/>
  <c r="E407" i="6"/>
  <c r="E392" i="6"/>
  <c r="E369" i="6"/>
  <c r="E341" i="6"/>
  <c r="E318" i="6"/>
  <c r="E283" i="6"/>
  <c r="E230" i="6"/>
  <c r="E228" i="6"/>
  <c r="E220" i="6"/>
  <c r="E214" i="6"/>
  <c r="E173" i="6"/>
  <c r="E166" i="6"/>
  <c r="E141" i="6"/>
  <c r="E134" i="6"/>
  <c r="E497" i="6"/>
  <c r="E464" i="6"/>
  <c r="E453" i="6"/>
  <c r="E449" i="6"/>
  <c r="E426" i="6"/>
  <c r="E419" i="6"/>
  <c r="E406" i="6"/>
  <c r="E382" i="6"/>
  <c r="E343" i="6"/>
  <c r="E258" i="6"/>
  <c r="E210" i="6"/>
  <c r="E198" i="6"/>
  <c r="E156" i="6"/>
  <c r="E132" i="6"/>
  <c r="E125" i="6"/>
  <c r="E121" i="6"/>
  <c r="E109" i="6"/>
  <c r="E76" i="6"/>
  <c r="E59" i="6"/>
  <c r="E54" i="6"/>
  <c r="E478" i="6"/>
  <c r="E401" i="6"/>
  <c r="E317" i="6"/>
  <c r="E269" i="6"/>
  <c r="E260" i="6"/>
  <c r="E211" i="6"/>
  <c r="E155" i="6"/>
  <c r="E72" i="6"/>
  <c r="E52" i="6"/>
  <c r="E237" i="6"/>
  <c r="E197" i="6"/>
  <c r="E139" i="6"/>
  <c r="E80" i="6"/>
  <c r="E62" i="6"/>
  <c r="E33" i="6"/>
  <c r="E443" i="6"/>
  <c r="E428" i="6"/>
  <c r="E364" i="6"/>
  <c r="E360" i="6"/>
  <c r="E359" i="6"/>
  <c r="E342" i="6"/>
  <c r="E271" i="6"/>
  <c r="E232" i="6"/>
  <c r="E203" i="6"/>
  <c r="E175" i="6"/>
  <c r="E128" i="6"/>
  <c r="E115" i="6"/>
  <c r="E50" i="6"/>
  <c r="E490" i="6"/>
  <c r="E452" i="6"/>
  <c r="E440" i="6"/>
  <c r="E395" i="6"/>
  <c r="E272" i="6"/>
  <c r="E263" i="6"/>
  <c r="E234" i="6"/>
  <c r="E223" i="6"/>
  <c r="E216" i="6"/>
  <c r="E202" i="6"/>
  <c r="E187" i="6"/>
  <c r="E172" i="6"/>
  <c r="E157" i="6"/>
  <c r="E77" i="6"/>
  <c r="E44" i="6"/>
  <c r="E5" i="6" l="1"/>
  <c r="E6" i="6"/>
  <c r="E7" i="6"/>
  <c r="E8" i="6"/>
  <c r="E9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9" i="6"/>
  <c r="E30" i="6"/>
  <c r="E31" i="6"/>
  <c r="E32" i="6"/>
  <c r="E34" i="6"/>
  <c r="E35" i="6"/>
  <c r="E36" i="6"/>
  <c r="E38" i="6"/>
  <c r="E41" i="6"/>
  <c r="E42" i="6"/>
  <c r="E43" i="6"/>
  <c r="E45" i="6"/>
  <c r="E46" i="6"/>
  <c r="E47" i="6"/>
  <c r="E49" i="6"/>
  <c r="E51" i="6"/>
  <c r="E53" i="6"/>
  <c r="E55" i="6"/>
  <c r="E56" i="6"/>
  <c r="E57" i="6"/>
  <c r="E58" i="6"/>
  <c r="E60" i="6"/>
  <c r="E63" i="6"/>
  <c r="E65" i="6"/>
  <c r="E66" i="6"/>
  <c r="E67" i="6"/>
  <c r="E68" i="6"/>
  <c r="E70" i="6"/>
  <c r="E71" i="6"/>
  <c r="E74" i="6"/>
  <c r="E75" i="6"/>
  <c r="E78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3" i="6"/>
  <c r="E105" i="6"/>
  <c r="E106" i="6"/>
  <c r="E108" i="6"/>
  <c r="E110" i="6"/>
  <c r="E112" i="6"/>
  <c r="E113" i="6"/>
  <c r="E114" i="6"/>
  <c r="E116" i="6"/>
  <c r="E117" i="6"/>
  <c r="E118" i="6"/>
  <c r="E119" i="6"/>
  <c r="E120" i="6"/>
  <c r="E122" i="6"/>
  <c r="E123" i="6"/>
  <c r="E124" i="6"/>
  <c r="E127" i="6"/>
  <c r="E129" i="6"/>
  <c r="E130" i="6"/>
  <c r="E131" i="6"/>
  <c r="E133" i="6"/>
  <c r="E135" i="6"/>
  <c r="E136" i="6"/>
  <c r="E137" i="6"/>
  <c r="E140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8" i="6"/>
  <c r="E159" i="6"/>
  <c r="E160" i="6"/>
  <c r="E161" i="6"/>
  <c r="E162" i="6"/>
  <c r="E163" i="6"/>
  <c r="E164" i="6"/>
  <c r="E165" i="6"/>
  <c r="E167" i="6"/>
  <c r="E168" i="6"/>
  <c r="E169" i="6"/>
  <c r="E170" i="6"/>
  <c r="E171" i="6"/>
  <c r="E174" i="6"/>
  <c r="E176" i="6"/>
  <c r="E177" i="6"/>
  <c r="E178" i="6"/>
  <c r="E179" i="6"/>
  <c r="E180" i="6"/>
  <c r="E181" i="6"/>
  <c r="E182" i="6"/>
  <c r="E183" i="6"/>
  <c r="E184" i="6"/>
  <c r="E186" i="6"/>
  <c r="E188" i="6"/>
  <c r="E189" i="6"/>
  <c r="E190" i="6"/>
  <c r="E191" i="6"/>
  <c r="E192" i="6"/>
  <c r="E193" i="6"/>
  <c r="E194" i="6"/>
  <c r="E195" i="6"/>
  <c r="E199" i="6"/>
  <c r="E200" i="6"/>
  <c r="E201" i="6"/>
  <c r="E204" i="6"/>
  <c r="E205" i="6"/>
  <c r="E206" i="6"/>
  <c r="E207" i="6"/>
  <c r="E208" i="6"/>
  <c r="E212" i="6"/>
  <c r="E213" i="6"/>
  <c r="E218" i="6"/>
  <c r="E219" i="6"/>
  <c r="E221" i="6"/>
  <c r="E222" i="6"/>
  <c r="E224" i="6"/>
  <c r="E225" i="6"/>
  <c r="E226" i="6"/>
  <c r="E229" i="6"/>
  <c r="E231" i="6"/>
  <c r="E233" i="6"/>
  <c r="E235" i="6"/>
  <c r="E236" i="6"/>
  <c r="E238" i="6"/>
  <c r="E239" i="6"/>
  <c r="E240" i="6"/>
  <c r="E242" i="6"/>
  <c r="E243" i="6"/>
  <c r="E245" i="6"/>
  <c r="E246" i="6"/>
  <c r="E247" i="6"/>
  <c r="E248" i="6"/>
  <c r="E250" i="6"/>
  <c r="E251" i="6"/>
  <c r="E252" i="6"/>
  <c r="E253" i="6"/>
  <c r="E254" i="6"/>
  <c r="E255" i="6"/>
  <c r="E256" i="6"/>
  <c r="E259" i="6"/>
  <c r="E261" i="6"/>
  <c r="E262" i="6"/>
  <c r="E264" i="6"/>
  <c r="E265" i="6"/>
  <c r="E266" i="6"/>
  <c r="E267" i="6"/>
  <c r="E268" i="6"/>
  <c r="E270" i="6"/>
  <c r="E273" i="6"/>
  <c r="E274" i="6"/>
  <c r="E275" i="6"/>
  <c r="E276" i="6"/>
  <c r="E277" i="6"/>
  <c r="E278" i="6"/>
  <c r="E280" i="6"/>
  <c r="E281" i="6"/>
  <c r="E282" i="6"/>
  <c r="E285" i="6"/>
  <c r="E286" i="6"/>
  <c r="E287" i="6"/>
  <c r="E288" i="6"/>
  <c r="E289" i="6"/>
  <c r="E291" i="6"/>
  <c r="E293" i="6"/>
  <c r="E294" i="6"/>
  <c r="E295" i="6"/>
  <c r="E296" i="6"/>
  <c r="E297" i="6"/>
  <c r="E298" i="6"/>
  <c r="E299" i="6"/>
  <c r="E300" i="6"/>
  <c r="E301" i="6"/>
  <c r="E302" i="6"/>
  <c r="E304" i="6"/>
  <c r="E305" i="6"/>
  <c r="E306" i="6"/>
  <c r="E307" i="6"/>
  <c r="E308" i="6"/>
  <c r="E309" i="6"/>
  <c r="E310" i="6"/>
  <c r="E311" i="6"/>
  <c r="E312" i="6"/>
  <c r="E313" i="6"/>
  <c r="E314" i="6"/>
  <c r="E316" i="6"/>
  <c r="E319" i="6"/>
  <c r="E320" i="6"/>
  <c r="E321" i="6"/>
  <c r="E322" i="6"/>
  <c r="E323" i="6"/>
  <c r="E324" i="6"/>
  <c r="E325" i="6"/>
  <c r="E326" i="6"/>
  <c r="E327" i="6"/>
  <c r="E328" i="6"/>
  <c r="E329" i="6"/>
  <c r="E333" i="6"/>
  <c r="E334" i="6"/>
  <c r="E335" i="6"/>
  <c r="E336" i="6"/>
  <c r="E337" i="6"/>
  <c r="E338" i="6"/>
  <c r="E340" i="6"/>
  <c r="E344" i="6"/>
  <c r="E346" i="6"/>
  <c r="E347" i="6"/>
  <c r="E348" i="6"/>
  <c r="E349" i="6"/>
  <c r="E350" i="6"/>
  <c r="E351" i="6"/>
  <c r="E352" i="6"/>
  <c r="E353" i="6"/>
  <c r="E354" i="6"/>
  <c r="E355" i="6"/>
  <c r="E356" i="6"/>
  <c r="E358" i="6"/>
  <c r="E361" i="6"/>
  <c r="E362" i="6"/>
  <c r="E363" i="6"/>
  <c r="E365" i="6"/>
  <c r="E366" i="6"/>
  <c r="E367" i="6"/>
  <c r="E370" i="6"/>
  <c r="E372" i="6"/>
  <c r="E373" i="6"/>
  <c r="E374" i="6"/>
  <c r="E376" i="6"/>
  <c r="E377" i="6"/>
  <c r="E378" i="6"/>
  <c r="E379" i="6"/>
  <c r="E380" i="6"/>
  <c r="E381" i="6"/>
  <c r="E384" i="6"/>
  <c r="E386" i="6"/>
  <c r="E387" i="6"/>
  <c r="E391" i="6"/>
  <c r="E393" i="6"/>
  <c r="E394" i="6"/>
  <c r="E396" i="6"/>
  <c r="E398" i="6"/>
  <c r="E399" i="6"/>
  <c r="E400" i="6"/>
  <c r="E402" i="6"/>
  <c r="E403" i="6"/>
  <c r="E404" i="6"/>
  <c r="E405" i="6"/>
  <c r="E408" i="6"/>
  <c r="E409" i="6"/>
  <c r="E410" i="6"/>
  <c r="E411" i="6"/>
  <c r="E412" i="6"/>
  <c r="E413" i="6"/>
  <c r="E415" i="6"/>
  <c r="E417" i="6"/>
  <c r="E418" i="6"/>
  <c r="E420" i="6"/>
  <c r="E421" i="6"/>
  <c r="E422" i="6"/>
  <c r="E423" i="6"/>
  <c r="E424" i="6"/>
  <c r="E425" i="6"/>
  <c r="E427" i="6"/>
  <c r="E431" i="6"/>
  <c r="E432" i="6"/>
  <c r="E433" i="6"/>
  <c r="E435" i="6"/>
  <c r="E436" i="6"/>
  <c r="E438" i="6"/>
  <c r="E439" i="6"/>
  <c r="E441" i="6"/>
  <c r="E442" i="6"/>
  <c r="E445" i="6"/>
  <c r="E446" i="6"/>
  <c r="E447" i="6"/>
  <c r="E448" i="6"/>
  <c r="E450" i="6"/>
  <c r="E451" i="6"/>
  <c r="E455" i="6"/>
  <c r="E456" i="6"/>
  <c r="E457" i="6"/>
  <c r="E458" i="6"/>
  <c r="E459" i="6"/>
  <c r="E460" i="6"/>
  <c r="E462" i="6"/>
  <c r="E463" i="6"/>
  <c r="E465" i="6"/>
  <c r="E466" i="6"/>
  <c r="E468" i="6"/>
  <c r="E469" i="6"/>
  <c r="E471" i="6"/>
  <c r="E473" i="6"/>
  <c r="E474" i="6"/>
  <c r="E475" i="6"/>
  <c r="E476" i="6"/>
  <c r="E479" i="6"/>
  <c r="E480" i="6"/>
  <c r="E481" i="6"/>
  <c r="E482" i="6"/>
  <c r="E483" i="6"/>
  <c r="E484" i="6"/>
  <c r="E485" i="6"/>
  <c r="E486" i="6"/>
  <c r="E487" i="6"/>
  <c r="E488" i="6"/>
  <c r="E489" i="6"/>
  <c r="E491" i="6"/>
  <c r="E492" i="6"/>
  <c r="E493" i="6"/>
  <c r="E495" i="6"/>
  <c r="E496" i="6"/>
  <c r="E498" i="6"/>
  <c r="E499" i="6"/>
  <c r="E500" i="6"/>
  <c r="E4" i="6"/>
  <c r="O95" i="12"/>
  <c r="O89" i="12"/>
  <c r="B15" i="10" s="1"/>
  <c r="O85" i="12"/>
  <c r="G3" i="7"/>
  <c r="D18" i="7" s="1"/>
  <c r="O87" i="12" s="1"/>
  <c r="B12" i="10" s="1"/>
  <c r="O96" i="12" l="1"/>
  <c r="B13" i="10" s="1"/>
  <c r="Q50" i="12" l="1"/>
  <c r="M96" i="12"/>
  <c r="Q52" i="12"/>
  <c r="O50" i="12"/>
  <c r="B10" i="10"/>
  <c r="G97" i="12" s="1"/>
  <c r="O110" i="12"/>
  <c r="G99" i="12"/>
  <c r="B11" i="10"/>
  <c r="G98" i="12" s="1"/>
  <c r="G100" i="12"/>
  <c r="G111" i="12" l="1"/>
  <c r="G113" i="12"/>
  <c r="Q43" i="12"/>
  <c r="N44" i="12" s="1"/>
</calcChain>
</file>

<file path=xl/sharedStrings.xml><?xml version="1.0" encoding="utf-8"?>
<sst xmlns="http://schemas.openxmlformats.org/spreadsheetml/2006/main" count="2346" uniqueCount="1583">
  <si>
    <t>SIMULAÇÃO DE PONTUAÇÃO PARA INCENTIVO DO FUNDOPEM</t>
  </si>
  <si>
    <t>Selecione</t>
  </si>
  <si>
    <t>COREDE</t>
  </si>
  <si>
    <t>Porte da Empresa</t>
  </si>
  <si>
    <t>Classificação do projeto</t>
  </si>
  <si>
    <t>É fornecedor de PPE?</t>
  </si>
  <si>
    <t>Possui APL?</t>
  </si>
  <si>
    <t>É cooperativa?</t>
  </si>
  <si>
    <t>Impacto ambiental</t>
  </si>
  <si>
    <t>SIMULAÇÃO DE PONTUAÇÃO</t>
  </si>
  <si>
    <t>TABELA DE PONTUAÇÃO FUNDOPEM/RS</t>
  </si>
  <si>
    <t>Critérios de Enquadramento</t>
  </si>
  <si>
    <t>Especificação de pontuação</t>
  </si>
  <si>
    <t>Pontuação / Benefício</t>
  </si>
  <si>
    <t>Setores Estratégicos</t>
  </si>
  <si>
    <t>Outros setores industriais</t>
  </si>
  <si>
    <t>Intensidade Tecnológica</t>
  </si>
  <si>
    <t>Alta</t>
  </si>
  <si>
    <t>Média-alta</t>
  </si>
  <si>
    <t>Média</t>
  </si>
  <si>
    <t>Média-baixa</t>
  </si>
  <si>
    <t>APL</t>
  </si>
  <si>
    <t>Enquadrado</t>
  </si>
  <si>
    <t>Reconhecido</t>
  </si>
  <si>
    <t>Cooperativa ou Central de Cooperativas de Produtores Rurais</t>
  </si>
  <si>
    <t>TABELA DE PONTUAÇÃO INTEGRAR/RS</t>
  </si>
  <si>
    <t>Máximo</t>
  </si>
  <si>
    <t>Mínimo</t>
  </si>
  <si>
    <t>Setores Industriais</t>
  </si>
  <si>
    <t>Impacto Ambiental</t>
  </si>
  <si>
    <t>Distrito Industrial do Estado</t>
  </si>
  <si>
    <t>Fixo</t>
  </si>
  <si>
    <t>De acordo com a Tabela de Faixas e Condições de Financiamento, o projeto seria enquadrado com os seguintes parâmetros:</t>
  </si>
  <si>
    <t>Especificação</t>
  </si>
  <si>
    <t>Enquadramento</t>
  </si>
  <si>
    <t>Faixa de Enquadramento FUNDOPEM/RS (%)</t>
  </si>
  <si>
    <t>Taxa de Juros (% a.a.)</t>
  </si>
  <si>
    <t>Prazo de Fruição (meses)</t>
  </si>
  <si>
    <t>Prazo de Carência (meses)</t>
  </si>
  <si>
    <t>Prazo de Amortização (meses)</t>
  </si>
  <si>
    <t>Abatimento do INTEGRAR/RS (%)</t>
  </si>
  <si>
    <t>CNAE</t>
  </si>
  <si>
    <t>ATIVIDADE</t>
  </si>
  <si>
    <t>PONTUAÇÃO</t>
  </si>
  <si>
    <t>0500-3/02</t>
  </si>
  <si>
    <t>Beneficiamento de carvão mineral</t>
  </si>
  <si>
    <t>0600-0/03</t>
  </si>
  <si>
    <t>Extração e beneficiamento de areias betuminosas</t>
  </si>
  <si>
    <t>0710-3/02</t>
  </si>
  <si>
    <t>Pelotização, sinterização e outros beneficiamentos de minério de ferro</t>
  </si>
  <si>
    <t>0721-9/02</t>
  </si>
  <si>
    <t>Beneficiamento de minério de alumínio</t>
  </si>
  <si>
    <t>0722-7/02</t>
  </si>
  <si>
    <t>Beneficiamento de minério de estanho</t>
  </si>
  <si>
    <t>0723-5/02</t>
  </si>
  <si>
    <t>Beneficiamento de minério de manganês</t>
  </si>
  <si>
    <t>0724-3/02</t>
  </si>
  <si>
    <t>Beneficiamento de minério de metais preciosos</t>
  </si>
  <si>
    <t>0729-4/05</t>
  </si>
  <si>
    <t>Beneficiamento de minérios de cobre, chumbo, zinco e outros minerais metálicos não ferrosos não especificados anteriormente</t>
  </si>
  <si>
    <t>0810-0/10</t>
  </si>
  <si>
    <t>Beneficiamento de gesso e caulim associado à extração</t>
  </si>
  <si>
    <t>1011-2/01</t>
  </si>
  <si>
    <t>Abate bovino</t>
  </si>
  <si>
    <t>1011-2/02</t>
  </si>
  <si>
    <t>Frigorífico - abate de equinos</t>
  </si>
  <si>
    <t>1011-2/03</t>
  </si>
  <si>
    <t>Frigorífico - abate de ovinos e caprinos</t>
  </si>
  <si>
    <t>1011-2/04</t>
  </si>
  <si>
    <t>Frigorífico - abate de bufalinos</t>
  </si>
  <si>
    <t>1011-2/05</t>
  </si>
  <si>
    <t>Matadouro - abate de reses sob contrato, exceto abate de suínos</t>
  </si>
  <si>
    <t>1012-1/01</t>
  </si>
  <si>
    <t>Abate de aves</t>
  </si>
  <si>
    <t>1012-1/02</t>
  </si>
  <si>
    <t>Abate de pequenos animais</t>
  </si>
  <si>
    <t>1012-1/03</t>
  </si>
  <si>
    <t>Abate de Suínos</t>
  </si>
  <si>
    <t>1012-1/04</t>
  </si>
  <si>
    <t>Matadouro - abate de suínos sob contrato</t>
  </si>
  <si>
    <t>1020-1/01</t>
  </si>
  <si>
    <t>Preservação de peixes, crustáceos e moluscos</t>
  </si>
  <si>
    <t>1013-9</t>
  </si>
  <si>
    <t>Produtos de Carne</t>
  </si>
  <si>
    <t>1020-1/02</t>
  </si>
  <si>
    <t>Fabricação de conservas de peixes, crustáceos e moluscos</t>
  </si>
  <si>
    <t>1031-7/00</t>
  </si>
  <si>
    <t>Fabricação de conservas de frutas</t>
  </si>
  <si>
    <t>1032-5/01</t>
  </si>
  <si>
    <t>Fabricação de conservas de palmito</t>
  </si>
  <si>
    <t>1032-5/99</t>
  </si>
  <si>
    <t>Fabricação de conservas de legumes e outros vegetais, exceto palmito</t>
  </si>
  <si>
    <t>1033-3/01</t>
  </si>
  <si>
    <t>Fabricação de sucos concentrados de frutas, hortaliças e legumes</t>
  </si>
  <si>
    <t>1033-3/02</t>
  </si>
  <si>
    <t>Fabricação de sucos de frutas, hortaliças e legumes, exceto concentrados</t>
  </si>
  <si>
    <t>1041-4/00</t>
  </si>
  <si>
    <t>Fabricação de óleos vegetais em bruto, exceto óleo de milho</t>
  </si>
  <si>
    <t>1042-2/00</t>
  </si>
  <si>
    <t>Fabricação de óleos vegetais refinados, exceto óleo de milho</t>
  </si>
  <si>
    <t>1043-1/00</t>
  </si>
  <si>
    <t>Fabricação de margarina e outras gorduras vegetais e de óleos não comestíveis de animais</t>
  </si>
  <si>
    <t>1051-1/00</t>
  </si>
  <si>
    <t>Preparação do leite</t>
  </si>
  <si>
    <t>1052-0/00</t>
  </si>
  <si>
    <t>Fabricação de laticínios</t>
  </si>
  <si>
    <t>1053-8/00</t>
  </si>
  <si>
    <t>Fabricação de sorvetes e outros gelados comestíveis</t>
  </si>
  <si>
    <t>1061-9/01</t>
  </si>
  <si>
    <t>Beneficiamento de arroz</t>
  </si>
  <si>
    <t>1061-9/02</t>
  </si>
  <si>
    <t>Fabricação de produtos do arroz</t>
  </si>
  <si>
    <t>1062-7/00</t>
  </si>
  <si>
    <t>Moagem de trigo e fabricação de derivados</t>
  </si>
  <si>
    <t>1063-5/00</t>
  </si>
  <si>
    <t>Fabricação de farinha de mandioca e derivados</t>
  </si>
  <si>
    <t>1064-3/00</t>
  </si>
  <si>
    <t>Fabricação de farinha de milho e derivados, exceto óleos de milho</t>
  </si>
  <si>
    <t>1065-1/01</t>
  </si>
  <si>
    <t>Fabricação de amidos e féculas de vegetais</t>
  </si>
  <si>
    <t>1065-1/02</t>
  </si>
  <si>
    <t>Fabricação de óleo de milho em bruto</t>
  </si>
  <si>
    <t>1065-1/03</t>
  </si>
  <si>
    <t>Fabricação de óleo de milho refinado</t>
  </si>
  <si>
    <t>1066-0/00</t>
  </si>
  <si>
    <t>Fabricação de alimentos para animais</t>
  </si>
  <si>
    <t>1069-4/00</t>
  </si>
  <si>
    <t>Moagem e fabricação de produtos de origem vegetal não especificados anteriormente</t>
  </si>
  <si>
    <t>1071-6/00</t>
  </si>
  <si>
    <t>Fabricação de açúcar em bruto</t>
  </si>
  <si>
    <t>1072-4/01</t>
  </si>
  <si>
    <t>Fabricação de açúcar de cana refinado</t>
  </si>
  <si>
    <t>1072-4/02</t>
  </si>
  <si>
    <t>Fabricação de açúcar de cereais (dextrose) e de beterraba</t>
  </si>
  <si>
    <t>1081-3/01</t>
  </si>
  <si>
    <t>Beneficiamento de café</t>
  </si>
  <si>
    <t>1081-3/02</t>
  </si>
  <si>
    <t>Torrefação e moagem de café</t>
  </si>
  <si>
    <t>1082-1/00</t>
  </si>
  <si>
    <t>Fabricação de produtos à base de café</t>
  </si>
  <si>
    <t>1091-1/01</t>
  </si>
  <si>
    <t>Fabricação de produtos de panificação industrial</t>
  </si>
  <si>
    <t>1091-1/02</t>
  </si>
  <si>
    <t>Fabricação de produtos de padaria e confeitaria com predominância de produção própria</t>
  </si>
  <si>
    <t>1092-9/00</t>
  </si>
  <si>
    <t>Fabricação de biscoitos e bolachas</t>
  </si>
  <si>
    <t>1093-7/01</t>
  </si>
  <si>
    <t>Fabricação de produtos derivados do cacau e de chocolates</t>
  </si>
  <si>
    <t>1093-7/02</t>
  </si>
  <si>
    <t>Fabricação de frutas cristalizadas, balas e semelhantes</t>
  </si>
  <si>
    <t>1094-5/00</t>
  </si>
  <si>
    <t>Fabricação de massas alimentícias</t>
  </si>
  <si>
    <t>1095-3/00</t>
  </si>
  <si>
    <t>Fabricação de especiarias, molhos, temperos e condimentos</t>
  </si>
  <si>
    <t>1096-1/00</t>
  </si>
  <si>
    <t>Fabricação de alimentos e pratos prontos</t>
  </si>
  <si>
    <t>1099-6/01</t>
  </si>
  <si>
    <t>Fabricação de vinagres</t>
  </si>
  <si>
    <t>1099-6/02</t>
  </si>
  <si>
    <t>Fabricação de pós-alimentícios</t>
  </si>
  <si>
    <t>1099-6/03</t>
  </si>
  <si>
    <t>Fabricação de fermentos e leveduras</t>
  </si>
  <si>
    <t>1099-6/04</t>
  </si>
  <si>
    <t>Fabricação de gelo comum</t>
  </si>
  <si>
    <t>1099-6/05</t>
  </si>
  <si>
    <t>Fabricação de produtos para infusão (chá, mate, etc.)</t>
  </si>
  <si>
    <t>1099-6/06</t>
  </si>
  <si>
    <t>Fabricação de adoçantes naturais e artificiais</t>
  </si>
  <si>
    <t>1099-6/07</t>
  </si>
  <si>
    <t>Fabricação de alimentos dietéticos e complementos alimentares</t>
  </si>
  <si>
    <t>1099-6/99</t>
  </si>
  <si>
    <t>Fabricação de outros produtos alimentícios não especificados anteriormente</t>
  </si>
  <si>
    <t>1111-9/01</t>
  </si>
  <si>
    <t>Fabricação de aguardente de cana-de-açúcar</t>
  </si>
  <si>
    <t>1111-9/02</t>
  </si>
  <si>
    <t>Fabricação de outras aguardentes e bebidas destiladas</t>
  </si>
  <si>
    <t>1112-7/00</t>
  </si>
  <si>
    <t>Fabricação de vinho</t>
  </si>
  <si>
    <t>1113-5/01</t>
  </si>
  <si>
    <t>Fabricação de malte, inclusive malte uísque</t>
  </si>
  <si>
    <t>1113-5/02</t>
  </si>
  <si>
    <t>Fabricação de cervejas e chopes</t>
  </si>
  <si>
    <t>1121-6/00</t>
  </si>
  <si>
    <t>Fabricação de águas envasadas</t>
  </si>
  <si>
    <t>1122-4/01</t>
  </si>
  <si>
    <t>Fabricação de refrigerantes</t>
  </si>
  <si>
    <t>1122-4/02</t>
  </si>
  <si>
    <t>Fabricação de chá mate e outros chás prontos para consumo</t>
  </si>
  <si>
    <t>1122-4/03</t>
  </si>
  <si>
    <t>Fabricação de refrescos, xaropes e pós para refrescos, exceto refrescos de frutas</t>
  </si>
  <si>
    <t>1122-4/04</t>
  </si>
  <si>
    <t>Fabricação de bebidas isotônicas</t>
  </si>
  <si>
    <t>1122-4/99</t>
  </si>
  <si>
    <t>Fabricação de outras bebidas não alcoólicas não especificadas anteriormente</t>
  </si>
  <si>
    <t>1210-7/00</t>
  </si>
  <si>
    <t>Processamento industrial do fumo</t>
  </si>
  <si>
    <t>1220-4/01</t>
  </si>
  <si>
    <t>Fabricação de cigarros</t>
  </si>
  <si>
    <t>1220-4/02</t>
  </si>
  <si>
    <t>Fabricação de cigarrilhas e charutos</t>
  </si>
  <si>
    <t>1220-4/03</t>
  </si>
  <si>
    <t>Fabricação de filtros para cigarros</t>
  </si>
  <si>
    <t>1220-4/99</t>
  </si>
  <si>
    <t>Fabricação de outros produtos do fumo, exceto cigarros, cigarrilhas e charutos</t>
  </si>
  <si>
    <t>1311-1/00</t>
  </si>
  <si>
    <t>Preparação e fiação de fibras de algodão</t>
  </si>
  <si>
    <t>1312-0/00</t>
  </si>
  <si>
    <t>Preparação e fiação de fibras têxteis naturais, exceto algodão</t>
  </si>
  <si>
    <t>1313-8/00</t>
  </si>
  <si>
    <t>Fiação de fibras artificiais e sintéticas</t>
  </si>
  <si>
    <t>1314-6/00</t>
  </si>
  <si>
    <t>Fabricação de linhas para costurar e bordar</t>
  </si>
  <si>
    <t>1321-9/00</t>
  </si>
  <si>
    <t>Tecelagem de fios de algodão</t>
  </si>
  <si>
    <t>1322-7/00</t>
  </si>
  <si>
    <t>Tecelagem de fios de fibras têxteis naturais, exceto algodão</t>
  </si>
  <si>
    <t>1323-5/00</t>
  </si>
  <si>
    <t>Tecelagem de fios de fibras artificiais e sintéticas</t>
  </si>
  <si>
    <t>1330-8/00</t>
  </si>
  <si>
    <t>Fabricação de tecidos de malha</t>
  </si>
  <si>
    <t>1340-5/01</t>
  </si>
  <si>
    <t>Estamparia e texturização em fios, tecidos, artefatos têxteis e peças do vestuário</t>
  </si>
  <si>
    <t>1340-5/02</t>
  </si>
  <si>
    <t>Alvejamento, tingimento e torção em fios, tecidos, artefatos têxteis e peças do vestuário</t>
  </si>
  <si>
    <t>1340-5/99</t>
  </si>
  <si>
    <t>Outros serviços de acabamento em fios, tecidos, artefatos têxteis e peças do vestuário</t>
  </si>
  <si>
    <t>1351-1/00</t>
  </si>
  <si>
    <t>Fabricação de artefatos têxteis para uso doméstico</t>
  </si>
  <si>
    <t>1352-9/00</t>
  </si>
  <si>
    <t>Fabricação de artefatos de tapeçaria</t>
  </si>
  <si>
    <t>1353-7/00</t>
  </si>
  <si>
    <t>Fabricação de artefatos de cordoaria</t>
  </si>
  <si>
    <t>1354-5/00</t>
  </si>
  <si>
    <t>Fabricação de tecidos especiais, inclusive artefatos</t>
  </si>
  <si>
    <t>1359-6/00</t>
  </si>
  <si>
    <t>Fabricação de outros produtos têxteis não especificados anteriormente</t>
  </si>
  <si>
    <t>1411-8/01</t>
  </si>
  <si>
    <t>Confecção de roupas íntimas</t>
  </si>
  <si>
    <t>1411-8/02</t>
  </si>
  <si>
    <t>Facção de roupas íntimas</t>
  </si>
  <si>
    <t>1412-6/01</t>
  </si>
  <si>
    <t>Confecção de peças do vestuário, exceto roupas íntimas e as confeccionadas sob medida</t>
  </si>
  <si>
    <t>1412-6/02</t>
  </si>
  <si>
    <t>Confecção, sob medida, de peças do vestuário, exceto roupas íntimas</t>
  </si>
  <si>
    <t>1412-6/03</t>
  </si>
  <si>
    <t>Facção de peças do vestuário, exceto roupas íntimas</t>
  </si>
  <si>
    <t>1413-4/01</t>
  </si>
  <si>
    <t>Confecção de roupas profissionais, exceto sob medida</t>
  </si>
  <si>
    <t>1413-4/02</t>
  </si>
  <si>
    <t>Confecção, sob medida, de roupas profissionais</t>
  </si>
  <si>
    <t>1413-4/03</t>
  </si>
  <si>
    <t>Facção de roupas profissionais</t>
  </si>
  <si>
    <t>1414-2/00</t>
  </si>
  <si>
    <t>Fabricação de acessórios do vestuário, exceto para segurança e proteção</t>
  </si>
  <si>
    <t>1421-5/00</t>
  </si>
  <si>
    <t>Fabricação de meias</t>
  </si>
  <si>
    <t>1422-3/00</t>
  </si>
  <si>
    <t>Fabricação de artigos do vestuário, produzidos em malharias e tricotagens, exceto meias</t>
  </si>
  <si>
    <t>1510-6/00</t>
  </si>
  <si>
    <t>Curtimento e outras preparações de couro</t>
  </si>
  <si>
    <t>1521-1/00</t>
  </si>
  <si>
    <t>Fabricação de artigos para viagem, bolsas e semelhantes de qualquer material</t>
  </si>
  <si>
    <t>1529-7/00</t>
  </si>
  <si>
    <t>Fabricação de artefatos de couro não especificados anteriormente</t>
  </si>
  <si>
    <t>1531-9/01</t>
  </si>
  <si>
    <t>Fabricação de calçados de couro</t>
  </si>
  <si>
    <t>1531-9/02</t>
  </si>
  <si>
    <t>Acabamento de calçados de couro sob contrato</t>
  </si>
  <si>
    <t>1532-7/00</t>
  </si>
  <si>
    <t>Fabricação de tênis de qualquer material</t>
  </si>
  <si>
    <t>1533-5/00</t>
  </si>
  <si>
    <t>Fabricação de calçados de material sintético</t>
  </si>
  <si>
    <t>1539-4/00</t>
  </si>
  <si>
    <t>Fabricação de calçados de materiais não especificados
anteriormente</t>
  </si>
  <si>
    <t>1540-8/00</t>
  </si>
  <si>
    <t>Fabricação de partes para calçados, de qualquer material</t>
  </si>
  <si>
    <t>1610-2/03</t>
  </si>
  <si>
    <t>Serrarias com desdobramento de madeira em bruto</t>
  </si>
  <si>
    <t>1610-2/04</t>
  </si>
  <si>
    <t>Serrarias sem desdobramento de madeira em bruto - Resseragem</t>
  </si>
  <si>
    <t>1610-2/05</t>
  </si>
  <si>
    <t>Serviço de tratamento de madeira realizado sob contrato</t>
  </si>
  <si>
    <t>1621-8/00</t>
  </si>
  <si>
    <t>Fabricação de madeira laminada e de chapas de madeira compensada, prensada e aglomerada</t>
  </si>
  <si>
    <t>1622-6/01</t>
  </si>
  <si>
    <t>Fabricação de casas de madeira pré-fabricadas</t>
  </si>
  <si>
    <t>1622-6/02</t>
  </si>
  <si>
    <t>Fabricação de esquadrias de madeira e de peças de madeira para instalações industriais e comerciais</t>
  </si>
  <si>
    <t>1622-6/99</t>
  </si>
  <si>
    <t>Fabricação de outros artigos de carpintaria para construção</t>
  </si>
  <si>
    <t>1623-4/00</t>
  </si>
  <si>
    <t>Fabricação de artefatos de tanoaria e de embalagens de madeira</t>
  </si>
  <si>
    <t>1629-3/01</t>
  </si>
  <si>
    <t>Fabricação de artefatos diversos de madeira, exceto móveis</t>
  </si>
  <si>
    <t>1629-3/02</t>
  </si>
  <si>
    <t>Fabricação de artefatos diversos de cortiça, bambu, palha, vime e outros materiais trançados, exceto móveis</t>
  </si>
  <si>
    <t>1710-9/00</t>
  </si>
  <si>
    <t>Fabricação de celulose e outras pastas para a fabricação de papel</t>
  </si>
  <si>
    <t>1721-4/00</t>
  </si>
  <si>
    <t>Fabricação de papel</t>
  </si>
  <si>
    <t>1722-2/00</t>
  </si>
  <si>
    <t>Fabricação de cartolina e papel-cartão</t>
  </si>
  <si>
    <t>1731-1/00</t>
  </si>
  <si>
    <t>Fabricação de embalagens de papel</t>
  </si>
  <si>
    <t>1732-0/00</t>
  </si>
  <si>
    <t>Fabricação de embalagens de cartolina e papel-cartão</t>
  </si>
  <si>
    <t>1733-8/00</t>
  </si>
  <si>
    <t>Fabricação de chapas e de embalagens de papelão ondulado</t>
  </si>
  <si>
    <t>1741-9/01</t>
  </si>
  <si>
    <t>Fabricação de formulários contínuos</t>
  </si>
  <si>
    <t>1741-9/02</t>
  </si>
  <si>
    <t>Fabricação de produtos de papel, cartolina, papel-cartão e papelão ondulado para uso comercial e de escritório</t>
  </si>
  <si>
    <t>1742-7/01</t>
  </si>
  <si>
    <t>Fabricação de fraldas descartáveis</t>
  </si>
  <si>
    <t>1742-7/02</t>
  </si>
  <si>
    <t>Fabricação de absorventes higiênicos</t>
  </si>
  <si>
    <t>1742-7/99</t>
  </si>
  <si>
    <t>Fabricação de produtos de papel para uso doméstico e higiênico-sanitário não especificados anteriormente</t>
  </si>
  <si>
    <t>1749-4/00</t>
  </si>
  <si>
    <t>Fabricação de produtos de pastas celulósicas, papel, cartolina, papel-cartão e papelão ondulado não especificados anteriormente</t>
  </si>
  <si>
    <t>1811-3/01</t>
  </si>
  <si>
    <t>Impressão de jornais</t>
  </si>
  <si>
    <t>1811-3/02</t>
  </si>
  <si>
    <t>Impressão de livros, revistas e outras publicações periódicas</t>
  </si>
  <si>
    <t>1812-1/00</t>
  </si>
  <si>
    <t>Impressão de material de segurança</t>
  </si>
  <si>
    <t>1813-0/01</t>
  </si>
  <si>
    <t>Impressão de material para uso publicitário</t>
  </si>
  <si>
    <t>1813-0/99</t>
  </si>
  <si>
    <t>Impressão de material para outros usos</t>
  </si>
  <si>
    <t>1821-1/00</t>
  </si>
  <si>
    <t>Serviços de pré-impressão</t>
  </si>
  <si>
    <t>1822-9/01</t>
  </si>
  <si>
    <t>Serviços de encadernação e plastificação</t>
  </si>
  <si>
    <t>1822-9/99</t>
  </si>
  <si>
    <t>Serviços de acabamentos gráficos, exceto encadernação e plastificação</t>
  </si>
  <si>
    <t>1830-0/01</t>
  </si>
  <si>
    <t>Reprodução de som em qualquer suporte</t>
  </si>
  <si>
    <t>1830-0/02</t>
  </si>
  <si>
    <t>Reprodução de vídeo em qualquer suporte</t>
  </si>
  <si>
    <t>1830-0/03</t>
  </si>
  <si>
    <t>Reprodução de software em qualquer suporte</t>
  </si>
  <si>
    <t>1910-1/00</t>
  </si>
  <si>
    <t>Coquerias</t>
  </si>
  <si>
    <t>1921-7/00</t>
  </si>
  <si>
    <t>Fabricação de produtos do refino de petróleo</t>
  </si>
  <si>
    <t>1922-5/01</t>
  </si>
  <si>
    <t>Formulação de combustíveis</t>
  </si>
  <si>
    <t>1922-5/02</t>
  </si>
  <si>
    <t>Rerrefino de óleos lubrificantes</t>
  </si>
  <si>
    <t>1922-5/99</t>
  </si>
  <si>
    <t>Fabricação de outros produtos derivados do petróleo, exceto produtos do refino</t>
  </si>
  <si>
    <t>1931-4/00</t>
  </si>
  <si>
    <t>Fabricação de álcool</t>
  </si>
  <si>
    <t>1932-2/00</t>
  </si>
  <si>
    <t>Fabricação de biocombustíveis, exceto álcool</t>
  </si>
  <si>
    <t>2011-8/00</t>
  </si>
  <si>
    <t>Fabricação de cloro e álcalis</t>
  </si>
  <si>
    <t>2012-6/00</t>
  </si>
  <si>
    <t>Fabricação de intermediários para fertilizantes</t>
  </si>
  <si>
    <t>2013-4/01</t>
  </si>
  <si>
    <t>Fabricação de adubos e fertilizantes organo-minerais</t>
  </si>
  <si>
    <t>2013-4/02</t>
  </si>
  <si>
    <t>Fabricação de adubos e fertilizantes, exceto organo-minerais</t>
  </si>
  <si>
    <t>2014-2/00</t>
  </si>
  <si>
    <t>Fabricação de gases industriais</t>
  </si>
  <si>
    <t>2019-3/01</t>
  </si>
  <si>
    <t>Elaboração de combustíveis nucleares</t>
  </si>
  <si>
    <t>2019-3/99</t>
  </si>
  <si>
    <t>Fabricação de outros produtos químicos inorgânicos não especificados anteriormente</t>
  </si>
  <si>
    <t>2021-5/00</t>
  </si>
  <si>
    <t>Fabricação de produtos petroquímicos básicos</t>
  </si>
  <si>
    <t>2022-3/00</t>
  </si>
  <si>
    <t>Fabricação de intermediários para plastificantes, resinas e fibras</t>
  </si>
  <si>
    <t>2029-1/00</t>
  </si>
  <si>
    <t>Fabricação de produtos químicos orgânicos não especificados anteriormente</t>
  </si>
  <si>
    <t>2031-2/00</t>
  </si>
  <si>
    <t>Fabricação de resinas termoplásticas</t>
  </si>
  <si>
    <t>2032-1/00</t>
  </si>
  <si>
    <t>Fabricação de resinas termofixas</t>
  </si>
  <si>
    <t>2033-9/00</t>
  </si>
  <si>
    <t>Fabricação de elastômeros</t>
  </si>
  <si>
    <t>2040-1/00</t>
  </si>
  <si>
    <t>Fabricação de fibras artificiais e sintéticas</t>
  </si>
  <si>
    <t>2051-7/00</t>
  </si>
  <si>
    <t>Fabricação de defensivos agrícolas</t>
  </si>
  <si>
    <t>2052-5/00</t>
  </si>
  <si>
    <t>Fabricação de desinfestantes domissanitários</t>
  </si>
  <si>
    <t>2061-4/00</t>
  </si>
  <si>
    <t>Fabricação de glicerina a partir de planta de biodiesel</t>
  </si>
  <si>
    <t>2062-2/00</t>
  </si>
  <si>
    <t>Fabricação de produtos de limpeza e polimento</t>
  </si>
  <si>
    <t>2063-1/00</t>
  </si>
  <si>
    <t>Fabricação de cosméticos, produtos de perfumaria e de higiene pessoal</t>
  </si>
  <si>
    <t>2071-1/00</t>
  </si>
  <si>
    <t>Fabricação de tintas, vernizes, esmaltes e lacas</t>
  </si>
  <si>
    <t>2072-0/00</t>
  </si>
  <si>
    <t>Fabricação de tintas de impressão</t>
  </si>
  <si>
    <t>2073-8/00</t>
  </si>
  <si>
    <t>Fabricação de impermeabilizantes, solventes e produtos afins</t>
  </si>
  <si>
    <t>2091-6/00</t>
  </si>
  <si>
    <t>Fabricação de adesivos e selantes</t>
  </si>
  <si>
    <t>2092-4/01</t>
  </si>
  <si>
    <t>Fabricação de pólvoras, explosivos e detonantes</t>
  </si>
  <si>
    <t>2092-4/02</t>
  </si>
  <si>
    <t>Fabricação de artigos pirotécnicos</t>
  </si>
  <si>
    <t>2092-4/03</t>
  </si>
  <si>
    <t>Fabricação de fósforos de segurança</t>
  </si>
  <si>
    <t>2093-2/00</t>
  </si>
  <si>
    <t>Fabricação de aditivos de uso industrial</t>
  </si>
  <si>
    <t>2094-1/00</t>
  </si>
  <si>
    <t>Fabricação de catalisadores</t>
  </si>
  <si>
    <t>2099-1/01</t>
  </si>
  <si>
    <t>Fabricação de chapas, filmes, papéis e outros materiais e produtos químicos para fotografia</t>
  </si>
  <si>
    <t>2099-1/99</t>
  </si>
  <si>
    <t>Fabricação de outros produtos químicos não especificados anteriormente</t>
  </si>
  <si>
    <t>2110-6/00</t>
  </si>
  <si>
    <t>Fabricação de produtos farmoquímicos</t>
  </si>
  <si>
    <t>2121-1/01</t>
  </si>
  <si>
    <t>Fabricação de medicamentos alopáticos para uso humano</t>
  </si>
  <si>
    <t>2121-1/02</t>
  </si>
  <si>
    <t>Fabricação de medicamentos homeopáticos para uso humano</t>
  </si>
  <si>
    <t>2121-1/03</t>
  </si>
  <si>
    <t>Fabricação de medicamentos fitoterápicos para uso humano</t>
  </si>
  <si>
    <t>2122-0/00</t>
  </si>
  <si>
    <t>Fabricação de medicamentos para uso veterinário</t>
  </si>
  <si>
    <t>2123-8/00</t>
  </si>
  <si>
    <t>Fabricação de preparações farmacêuticas</t>
  </si>
  <si>
    <t>2211-1/00</t>
  </si>
  <si>
    <t>Fabricação de pneumáticos e de câmaras-de-ar</t>
  </si>
  <si>
    <t>2212-9/00</t>
  </si>
  <si>
    <t>Reforma de pneumáticos usados</t>
  </si>
  <si>
    <t>2219-6/00</t>
  </si>
  <si>
    <t>Fabricação de artefatos de borracha não especificados 
anteriormente</t>
  </si>
  <si>
    <t>2221-8/00</t>
  </si>
  <si>
    <t>Fabricação de laminados planos e tubulares de material plástico</t>
  </si>
  <si>
    <t>2222-6/00</t>
  </si>
  <si>
    <t>Fabricação de embalagens de material plástico</t>
  </si>
  <si>
    <t>2223-4/00</t>
  </si>
  <si>
    <t>Fabricação de tubos e acessórios de material plástico para uso na construção</t>
  </si>
  <si>
    <t>2229-3/01</t>
  </si>
  <si>
    <t>Fabricação de artefatos de material plástico para uso pessoal e doméstico</t>
  </si>
  <si>
    <t>2229-3/02</t>
  </si>
  <si>
    <t>Fabricação de artefatos de material plástico para usos industriais</t>
  </si>
  <si>
    <t>2229-3/03</t>
  </si>
  <si>
    <t>Fabricação de artefatos de material plástico para uso na construção, exceto tubos e acessórios</t>
  </si>
  <si>
    <t>2229-3/99</t>
  </si>
  <si>
    <t>Fabricação de artefatos de material plástico para outros usos não especificados anteriormente</t>
  </si>
  <si>
    <t>2311-7/00</t>
  </si>
  <si>
    <t>Fabricação de vidro plano e de segurança</t>
  </si>
  <si>
    <t>2312-5/00</t>
  </si>
  <si>
    <t>Fabricação de embalagens de vidro</t>
  </si>
  <si>
    <t>2319-2/00</t>
  </si>
  <si>
    <t>Fabricação de artigos de vidro</t>
  </si>
  <si>
    <t>2320-6/00</t>
  </si>
  <si>
    <t>Fabricação de cimento</t>
  </si>
  <si>
    <t>2330-3/01</t>
  </si>
  <si>
    <t>Fabricação de estruturas pré-moldadas de concreto armado, em série e sob encomenda</t>
  </si>
  <si>
    <t>2330-3/02</t>
  </si>
  <si>
    <t>Fabricação de artefatos de cimento para uso na construção</t>
  </si>
  <si>
    <t>2330-3/03</t>
  </si>
  <si>
    <t>Fabricação de artefatos de fibrocimento para uso na construção</t>
  </si>
  <si>
    <t>2330-3/04</t>
  </si>
  <si>
    <t>Fabricação de casas pré-moldadas de concreto</t>
  </si>
  <si>
    <t>2330-3/05</t>
  </si>
  <si>
    <t>Preparação de massa de concreto e argamassa para construção</t>
  </si>
  <si>
    <t>2330-3/99</t>
  </si>
  <si>
    <t>Fabricação de outros artefatos e produtos de concreto, cimento, fibrocimento, gesso e materiais semelhantes</t>
  </si>
  <si>
    <t>2341-9/00</t>
  </si>
  <si>
    <t>Fabricação de produtos cerâmicos refratários</t>
  </si>
  <si>
    <t>2342-7/01</t>
  </si>
  <si>
    <t>Fabricação de azulejos e pisos</t>
  </si>
  <si>
    <t>2342-7/02</t>
  </si>
  <si>
    <t>Fabricação de artefatos de cerâmica e barro cozido para uso na construção, exceto azulejos e pisos</t>
  </si>
  <si>
    <t>2349-4/01</t>
  </si>
  <si>
    <t>Fabricação de material sanitário de cerâmica</t>
  </si>
  <si>
    <t>2349-4/99</t>
  </si>
  <si>
    <t>Fabricação de produtos cerâmicos não refratários não especificados anteriormente</t>
  </si>
  <si>
    <t>2391-5/01</t>
  </si>
  <si>
    <t>Britamento de pedras, exceto associado à extração</t>
  </si>
  <si>
    <t>2391-5/02</t>
  </si>
  <si>
    <t>Aparelhamento de pedras para construção, exceto associado à extração</t>
  </si>
  <si>
    <t>2391-5/03</t>
  </si>
  <si>
    <t>Aparelhamento de placas e execução de trabalhos em mármore, granito, ardósia e outras pedras</t>
  </si>
  <si>
    <t>2392-3/00</t>
  </si>
  <si>
    <t>Fabricação de cal e gesso</t>
  </si>
  <si>
    <t>2399-1/01</t>
  </si>
  <si>
    <t>Decoração, lapidação, gravação, vitrificação e outros trabalhos em cerâmica, louça, vidro e cristal</t>
  </si>
  <si>
    <t>2399-1/02</t>
  </si>
  <si>
    <t>Fabricação de abrasivos</t>
  </si>
  <si>
    <t>2399-1/99</t>
  </si>
  <si>
    <t>Fabricação de outros produtos de minerais não metálicos não especificados anteriormente</t>
  </si>
  <si>
    <t>2411-3/00</t>
  </si>
  <si>
    <t>Produção de ferro-gusa</t>
  </si>
  <si>
    <t>2412-1/00</t>
  </si>
  <si>
    <t>Produção de ferroligas</t>
  </si>
  <si>
    <t>2421-1/00</t>
  </si>
  <si>
    <t>Produção de semiacabados de aço</t>
  </si>
  <si>
    <t>2422-9/01</t>
  </si>
  <si>
    <t>Produção de laminados planos de aço ao carbono, revestidos ou não</t>
  </si>
  <si>
    <t>2422-9/02</t>
  </si>
  <si>
    <t>Produção de laminados planos de aços especiais</t>
  </si>
  <si>
    <t>2423-7/01</t>
  </si>
  <si>
    <t>Produção de tubos de aço sem costura</t>
  </si>
  <si>
    <t>2423-7/02</t>
  </si>
  <si>
    <t>Produção de laminados longos de aço, exceto tubos</t>
  </si>
  <si>
    <t>2424-5/01</t>
  </si>
  <si>
    <t>Produção de arames de aço</t>
  </si>
  <si>
    <t>2424-5/02</t>
  </si>
  <si>
    <t>Produção de relaminados, trefilados e perfilados de aço, exceto arames</t>
  </si>
  <si>
    <t>2431-8/00</t>
  </si>
  <si>
    <t>Produção de tubos de aço com costura</t>
  </si>
  <si>
    <t>2439-3/00</t>
  </si>
  <si>
    <t>Produção de outros tubos de ferro e aço</t>
  </si>
  <si>
    <t>2441-5/01</t>
  </si>
  <si>
    <t>Produção de alumínio e suas ligas em formas primárias</t>
  </si>
  <si>
    <t>2441-5/02</t>
  </si>
  <si>
    <t>Produção de laminados de alumínio</t>
  </si>
  <si>
    <t>2442-3/00</t>
  </si>
  <si>
    <t>Metalurgia dos metais preciosos</t>
  </si>
  <si>
    <t>2443-1/00</t>
  </si>
  <si>
    <t>Metalurgia do cobre</t>
  </si>
  <si>
    <t>2449-1/01</t>
  </si>
  <si>
    <t>Produção de zinco em formas primárias</t>
  </si>
  <si>
    <t>2449-1/02</t>
  </si>
  <si>
    <t>Produção de laminados de zinco</t>
  </si>
  <si>
    <t>2449-1/03</t>
  </si>
  <si>
    <t>Fabricação de ânodos para galvanoplastia</t>
  </si>
  <si>
    <t>2449-1/99</t>
  </si>
  <si>
    <t>Metalurgia de outros metais não ferrosos e suas ligas não especificados anteriormente</t>
  </si>
  <si>
    <t>2451-2/00</t>
  </si>
  <si>
    <t>Fundição de ferro e aço</t>
  </si>
  <si>
    <t>2452-1/00</t>
  </si>
  <si>
    <t>Fundição de metais não ferrosos e suas ligas</t>
  </si>
  <si>
    <t>2511-0/00</t>
  </si>
  <si>
    <t>Fabricação de estruturas metálicas</t>
  </si>
  <si>
    <t>2512-8/00</t>
  </si>
  <si>
    <t>Fabricação de esquadrias de metal</t>
  </si>
  <si>
    <t>2513-6/00</t>
  </si>
  <si>
    <t>Fabricação de obras de caldeiraria pesada</t>
  </si>
  <si>
    <t>2521-7/00</t>
  </si>
  <si>
    <t>Fabricação de tanques, reservatórios metálicos e caldeiras para aquecimento central</t>
  </si>
  <si>
    <t>2522-5/00</t>
  </si>
  <si>
    <t>Fabricação de caldeiras geradoras de vapor, exceto para aquecimento central e para veículos</t>
  </si>
  <si>
    <t>2531-4/01</t>
  </si>
  <si>
    <t>Produção de forjados de aço</t>
  </si>
  <si>
    <t>2531-4/02</t>
  </si>
  <si>
    <t>Produção de forjados de metais não ferrosos e suas ligas</t>
  </si>
  <si>
    <t>2532-2/01</t>
  </si>
  <si>
    <t>Produção de artefatos estampados de metal</t>
  </si>
  <si>
    <t>2532-2/02</t>
  </si>
  <si>
    <t>Metalurgia do pó</t>
  </si>
  <si>
    <t>2539-0/01</t>
  </si>
  <si>
    <t>Serviços de usinagem, torneiria e solda</t>
  </si>
  <si>
    <t>2539-0/02</t>
  </si>
  <si>
    <t>Serviços de tratamento e revestimento em metais</t>
  </si>
  <si>
    <t>2541-1/00</t>
  </si>
  <si>
    <t>Fabricação de artigos de cutelaria</t>
  </si>
  <si>
    <t>2542-0/00</t>
  </si>
  <si>
    <t>Fabricação de artigos de serralheria, exceto esquadrias</t>
  </si>
  <si>
    <t>2543-8/00</t>
  </si>
  <si>
    <t>Fabricação de ferramentas</t>
  </si>
  <si>
    <t>2550-1/01</t>
  </si>
  <si>
    <t>Fabricação de equipamento bélico pesado, exceto veículos militares de combate</t>
  </si>
  <si>
    <t>2550-1/02</t>
  </si>
  <si>
    <t>Fabricação de armas de fogo, outras armas e munições</t>
  </si>
  <si>
    <t>2591-8/00</t>
  </si>
  <si>
    <t>Fabricação de embalagens metálicas</t>
  </si>
  <si>
    <t>2592-6/01</t>
  </si>
  <si>
    <t>Fabricação de produtos de trefilados de metal padronizados</t>
  </si>
  <si>
    <t>2592-6/02</t>
  </si>
  <si>
    <t>Fabricação de produtos de trefilados de metal, exceto padronizados</t>
  </si>
  <si>
    <t>2593-4/00</t>
  </si>
  <si>
    <t>Fabricação de artigos de metal para uso doméstico e pessoal</t>
  </si>
  <si>
    <t>2599-3/01</t>
  </si>
  <si>
    <t>Serviços de confecção de armações metálicas para a construção</t>
  </si>
  <si>
    <t>2599-3/02</t>
  </si>
  <si>
    <t>Serviço de corte e dobra de metais</t>
  </si>
  <si>
    <t>2599-3/99</t>
  </si>
  <si>
    <t>Fabricação de outros produtos de metal não especificados anteriormente</t>
  </si>
  <si>
    <t>2610-8/00</t>
  </si>
  <si>
    <t>Fabricação de componentes eletrônicos</t>
  </si>
  <si>
    <t>2621-3/00</t>
  </si>
  <si>
    <t>Fabricação de equipamentos de informática</t>
  </si>
  <si>
    <t>2622-1/00</t>
  </si>
  <si>
    <t>Fabricação de periféricos para equipamentos de informática</t>
  </si>
  <si>
    <t>2631-1/00</t>
  </si>
  <si>
    <t>Fabricação de equipamentos transmissores de comunicação, peças e acessórios</t>
  </si>
  <si>
    <t>2632-9/00</t>
  </si>
  <si>
    <t>Fabricação de aparelhos telefônicos e de outros equipamentos de comunicação, peças e acessórios</t>
  </si>
  <si>
    <t>2640-0/00</t>
  </si>
  <si>
    <t>Fabricação de aparelhos de recepção, reprodução, gravação e amplificação de áudio e vídeo</t>
  </si>
  <si>
    <t>2651-5/00</t>
  </si>
  <si>
    <t>Fabricação de aparelhos e equipamentos de medida, teste e controle</t>
  </si>
  <si>
    <t>2652-3/00</t>
  </si>
  <si>
    <t>Fabricação de cronômetros e relógios</t>
  </si>
  <si>
    <t>2660-4/00</t>
  </si>
  <si>
    <t>Fabricação de aparelhos eletromédicos e eletroterapêuticos e equipamentos de irradiação</t>
  </si>
  <si>
    <t>2670-1/01</t>
  </si>
  <si>
    <t>Fabricação de equipamentos e instrumentos ópticos, peças e acessórios</t>
  </si>
  <si>
    <t>2670-1/02</t>
  </si>
  <si>
    <t>Fabricação de aparelhos fotográficos e cinematográficos, peças e acessórios</t>
  </si>
  <si>
    <t>2680-9/00</t>
  </si>
  <si>
    <t>Fabricação de mídias virgens, magnéticas e ópticas</t>
  </si>
  <si>
    <t>2710-4/01</t>
  </si>
  <si>
    <t>Fabricação de geradores de corrente contínua e alternada, peças e acessórios</t>
  </si>
  <si>
    <t>2710-4/02</t>
  </si>
  <si>
    <t>Fabricação de transformadores, indutores, conversores, sincronizadores e semelhantes, peças e acessórios</t>
  </si>
  <si>
    <t>2710-4/03</t>
  </si>
  <si>
    <t>Fabricação de motores elétricos, peças e acessórios</t>
  </si>
  <si>
    <t>2721-0/00</t>
  </si>
  <si>
    <t>Fabricação de pilhas, baterias e acumuladores elétricos, exceto para veículos automotores</t>
  </si>
  <si>
    <t>2722-8/01</t>
  </si>
  <si>
    <t>Fabricação de baterias e acumuladores para veículos automotores</t>
  </si>
  <si>
    <t>2722-8/02</t>
  </si>
  <si>
    <t>Recondicionamento de baterias e acumuladores para veículos automotores</t>
  </si>
  <si>
    <t>2731-7/00</t>
  </si>
  <si>
    <t>Fabricação de aparelhos e equipamentos para distribuição e controle de energia elétrica</t>
  </si>
  <si>
    <t>2732-5/00</t>
  </si>
  <si>
    <t>Fabricação de material elétrico para instalações em circuito de consumo</t>
  </si>
  <si>
    <t>2733-3/00</t>
  </si>
  <si>
    <t>Fabricação de fios, cabos e condutores elétricos isolados</t>
  </si>
  <si>
    <t>2740-6/01</t>
  </si>
  <si>
    <t>Fabricação de lâmpadas</t>
  </si>
  <si>
    <t>2740-6/02</t>
  </si>
  <si>
    <t>Fabricação de luminárias e outros equipamentos de iluminação</t>
  </si>
  <si>
    <t>2751-1/00</t>
  </si>
  <si>
    <t>Fabricação de fogões, refrigeradores e máquinas de lavar e secar para uso doméstico, peças e acessórios</t>
  </si>
  <si>
    <t>2759-7/01</t>
  </si>
  <si>
    <t>Fabricação de aparelhos elétricos de uso pessoal, peças e acessórios</t>
  </si>
  <si>
    <t>2759-7/99</t>
  </si>
  <si>
    <t>Fabricação de outros aparelhos eletrodomésticos não especificados anteriormente, peças e acessórios</t>
  </si>
  <si>
    <t>2790-2/01</t>
  </si>
  <si>
    <t>Fabricação de eletrodos, contatos e outros artigos de carvão e grafita para uso elétrico, eletroímãs e isoladores</t>
  </si>
  <si>
    <t>2790-2/02</t>
  </si>
  <si>
    <t>Fabricação de equipamentos para sinalização e alarme</t>
  </si>
  <si>
    <t>2790-2/99</t>
  </si>
  <si>
    <t>Fabricação de outros equipamentos e aparelhos elétricos não especificados anteriormente</t>
  </si>
  <si>
    <t>2811-9</t>
  </si>
  <si>
    <t>Fabricação de motores e turbinas, exceto peças e acessórios, exceto para aviões e veículos rodoviários</t>
  </si>
  <si>
    <t>2811-9/00</t>
  </si>
  <si>
    <t>Fabricação de motores e turbinas, para indústria de petróleo e gás</t>
  </si>
  <si>
    <t>2812-7</t>
  </si>
  <si>
    <t>Fabricação de equipamentos hidráulicos e pneumáticos, exceto peças e acessórios, exceto válvulas</t>
  </si>
  <si>
    <t>2812-7/00</t>
  </si>
  <si>
    <t>Fabricação de equipamentos hidráulicos e pneumáticos, exceto válvulas, para indústria de petróleo e gás</t>
  </si>
  <si>
    <t>2813-5</t>
  </si>
  <si>
    <t>Fabricação de válvulas, registros e dispositivos semelhantes, exceto peças e acessórios</t>
  </si>
  <si>
    <t>2813-5/00</t>
  </si>
  <si>
    <t xml:space="preserve">Fabricação de válvulas, registros e dispositivos semelhantes, para indústria de petróleo e gás </t>
  </si>
  <si>
    <t>2814-3</t>
  </si>
  <si>
    <t>Fabricação de compressores para uso industrial, exceto peças e acessórios</t>
  </si>
  <si>
    <t>2814-3/01</t>
  </si>
  <si>
    <t>Fabricação de compressores para uso industrial (Indústria de Petróleo e Gás)</t>
  </si>
  <si>
    <t>2814-3/02</t>
  </si>
  <si>
    <t>Fabricação de compressores para uso não industrial, peças e acessórios</t>
  </si>
  <si>
    <t>2815-1/01</t>
  </si>
  <si>
    <t>Fabricação de rolamentos para fins industriais</t>
  </si>
  <si>
    <t>2815-1/02</t>
  </si>
  <si>
    <t>Fabricação de equipamentos de transmissão para fins industriais, exceto rolamentos</t>
  </si>
  <si>
    <t>2821-6/01</t>
  </si>
  <si>
    <t>Fabricação de fornos industriais, aparelhos e equipamentos não elétricos para instalações térmicas, peças e acessórios</t>
  </si>
  <si>
    <t>2821-6/02</t>
  </si>
  <si>
    <t>Fabricação de estufas e fornos elétricos para fins industriais, peças e acessórios</t>
  </si>
  <si>
    <t>2822-4/01</t>
  </si>
  <si>
    <t>Fabricação de máquinas, equipamentos e aparelhos para transporte e elevação de pessoas, peças e acessórios</t>
  </si>
  <si>
    <t>2822-4/02</t>
  </si>
  <si>
    <t>Fabricação de máquinas, equipamentos e aparelhos para transporte e elevação de cargas, peças e acessórios</t>
  </si>
  <si>
    <t>2823-2/00</t>
  </si>
  <si>
    <t>Fabricação de máquinas e aparelhos de refrigeração e ventilação para uso industrial e comercial, peças e acessórios</t>
  </si>
  <si>
    <t>2824-1/01</t>
  </si>
  <si>
    <t>Fabricação de aparelhos e equipamentos de ar condicionado para uso industrial</t>
  </si>
  <si>
    <t>2824-1/02</t>
  </si>
  <si>
    <t>Fabricação de aparelhos e equipamentos de ar condicionado para uso não industrial</t>
  </si>
  <si>
    <t>2825-9/00</t>
  </si>
  <si>
    <t>Fabricação de máquinas e equipamentos para saneamento básico e ambiental, peças e acessórios</t>
  </si>
  <si>
    <t>2829-1/01</t>
  </si>
  <si>
    <t>Fabricação de máquinas de escrever, calcular e outros equipamentos não eletrônicos para escritório, peças e acessórios</t>
  </si>
  <si>
    <t>2829-1/99</t>
  </si>
  <si>
    <t>Fabricação de outras máquinas e equipamentos de uso geral não especificados anteriormente, peças e acessórios</t>
  </si>
  <si>
    <t>2831-3/00</t>
  </si>
  <si>
    <t>Fabricação de tratores agrícolas, peças e acessórios</t>
  </si>
  <si>
    <t>2832-1/00</t>
  </si>
  <si>
    <t>Fabricação de equipamentos para irrigação agrícola, peças e acessórios</t>
  </si>
  <si>
    <t>2833-0/00</t>
  </si>
  <si>
    <t>Fabricação de máquinas e equipamentos para a agricultura e pecuária, peças e acessórios, exceto para irrigação</t>
  </si>
  <si>
    <t>2840-2/00</t>
  </si>
  <si>
    <t>Fabricação de máquinas-ferramenta, peças e acessórios</t>
  </si>
  <si>
    <t>2851-8</t>
  </si>
  <si>
    <t>Fabricação de máquinas e equipamentos para a prospecção e extração de petróleo,exceto peças e acessórios</t>
  </si>
  <si>
    <t>2851-8/00</t>
  </si>
  <si>
    <t>Fabricação de máquinas e equipamentos para prospecção e extração de petróleo</t>
  </si>
  <si>
    <t>2852-6/00</t>
  </si>
  <si>
    <t>Fabricação de outras máquinas e equipamentos para uso na extração mineral, peças e acessórios, exceto na extração de petróleo</t>
  </si>
  <si>
    <t>2853-4/00</t>
  </si>
  <si>
    <t>Fabricação de tratores, peças e acessórios, exceto agrícolas</t>
  </si>
  <si>
    <t>2854-2/00</t>
  </si>
  <si>
    <t>Fabricação de máquinas e equipamentos para terraplenagem, pavimentação e construção, peças e acessórios, exceto tratores</t>
  </si>
  <si>
    <t>2861-5/00</t>
  </si>
  <si>
    <t>Fabricação de máquinas para a indústria metalúrgica, peças e acessórios, exceto máquinas-ferramenta</t>
  </si>
  <si>
    <t>2862-3/00</t>
  </si>
  <si>
    <t>Fabricação de máquinas e equipamentos para as indústrias de alimentos, bebidas e fumo, peças e acessórios</t>
  </si>
  <si>
    <t>2863-1/00</t>
  </si>
  <si>
    <t>Fabricação de máquinas e equipamentos para a indústria têxtil, peças e acessórios</t>
  </si>
  <si>
    <t>2864-0/00</t>
  </si>
  <si>
    <t>Fabricação de máquinas e equipamentos para as indústrias do vestuário, do couro e de calçados, peças e acessórios</t>
  </si>
  <si>
    <t>2865-8/00</t>
  </si>
  <si>
    <t>Fabricação de máquinas e equipamentos para as indústrias de celulose, papel e papelão e artefatos, peças e acessórios</t>
  </si>
  <si>
    <t>2866-6/00</t>
  </si>
  <si>
    <t>Fabricação de máquinas e equipamentos para a indústria do plástico, peças e acessórios</t>
  </si>
  <si>
    <t>2869-1/00</t>
  </si>
  <si>
    <t>Fabricação de máquinas e equipamentos para uso industrial específico não especificados anteriormente, peças e acessórios</t>
  </si>
  <si>
    <t>2910-7/01</t>
  </si>
  <si>
    <t>Fabricação de automóveis, camionetas e utilitários</t>
  </si>
  <si>
    <t>2910-7/02</t>
  </si>
  <si>
    <t>Fabricação de chassis com motor para automóveis, camionetas e utilitários</t>
  </si>
  <si>
    <t>2910-7/03</t>
  </si>
  <si>
    <t>Fabricação de motores para automóveis, camionetas e utilitários</t>
  </si>
  <si>
    <t>2920-4/01</t>
  </si>
  <si>
    <t>Fabricação de caminhões e ônibus</t>
  </si>
  <si>
    <t>2920-4/02</t>
  </si>
  <si>
    <t>Fabricação de motores para caminhões e ônibus</t>
  </si>
  <si>
    <t>2930-1/01</t>
  </si>
  <si>
    <t>Fabricação de cabines, carrocerias e reboques para caminhões</t>
  </si>
  <si>
    <t>2930-1/02</t>
  </si>
  <si>
    <t>Fabricação de carrocerias para ônibus</t>
  </si>
  <si>
    <t>2930-1/03</t>
  </si>
  <si>
    <t>Fabricação de cabines, carrocerias e reboques para outros veículos automotores, exceto caminhões e ônibus</t>
  </si>
  <si>
    <t>2941-7/00</t>
  </si>
  <si>
    <t>Fabricação de peças e acessórios para o sistema motor de veículos automotores</t>
  </si>
  <si>
    <t>2942-5/00</t>
  </si>
  <si>
    <t>Fabricação de peças e acessórios para os sistemas de marcha e transmissão de veículos automotores</t>
  </si>
  <si>
    <t>2943-3/00</t>
  </si>
  <si>
    <t>Fabricação de peças e acessórios para o sistema de freios de veículos automotores</t>
  </si>
  <si>
    <t>2944-1/00</t>
  </si>
  <si>
    <t>Fabricação de peças e acessórios para o sistema de direção e suspensão de veículos automotores</t>
  </si>
  <si>
    <t>2945-0/00</t>
  </si>
  <si>
    <t>Fabricação de material elétrico e eletrônico para veículos automotores, exceto baterias</t>
  </si>
  <si>
    <t>2949-2/01</t>
  </si>
  <si>
    <t>Fabricação de bancos e estofados para veículos automotores</t>
  </si>
  <si>
    <t>2949-2/99</t>
  </si>
  <si>
    <t>Fabricação de outras peças e acessórios para veículos automotores não especificadas anteriormente</t>
  </si>
  <si>
    <t>2950-6/00</t>
  </si>
  <si>
    <t>Recondicionamento e recuperação de motores para veículos automotores</t>
  </si>
  <si>
    <t>3011-3/01</t>
  </si>
  <si>
    <t>Construção de embarcações de grande porte</t>
  </si>
  <si>
    <t>3011-3/02</t>
  </si>
  <si>
    <t>Construção de embarcações para uso comercial e para usos especiais, exceto de grande porte</t>
  </si>
  <si>
    <t>3012-1/00</t>
  </si>
  <si>
    <t>Construção de embarcações para esporte e lazer</t>
  </si>
  <si>
    <t>3031-8/00</t>
  </si>
  <si>
    <t>Fabricação de locomotivas, vagões e outros materiais rodantes</t>
  </si>
  <si>
    <t>3032-6/00</t>
  </si>
  <si>
    <t>Fabricação de peças e acessórios para veículos ferroviários</t>
  </si>
  <si>
    <t>3041-5/00</t>
  </si>
  <si>
    <t>Fabricação de aeronaves</t>
  </si>
  <si>
    <t>3042-3/00</t>
  </si>
  <si>
    <t>Fabricação de turbinas, motores e outros componentes e peças para aeronaves</t>
  </si>
  <si>
    <t>3050-4/00</t>
  </si>
  <si>
    <t>Fabricação de veículos militares de combate</t>
  </si>
  <si>
    <t>3091-1/01</t>
  </si>
  <si>
    <t>Fabricação de motocicletas</t>
  </si>
  <si>
    <t>3091-1/02</t>
  </si>
  <si>
    <t>Fabricação de peças e acessórios para motocicletas</t>
  </si>
  <si>
    <t>3092-0/00</t>
  </si>
  <si>
    <t>Fabricação de bicicletas e triciclos não motorizados, peças e acessórios</t>
  </si>
  <si>
    <t>3099-7/00</t>
  </si>
  <si>
    <t>Fabricação de equipamentos de transporte não especificados anteriormente</t>
  </si>
  <si>
    <t>3101-2/00</t>
  </si>
  <si>
    <t>Fabricação de móveis com predominância de madeira</t>
  </si>
  <si>
    <t>3102-1/00</t>
  </si>
  <si>
    <t>Fabricação de móveis com predominância de metal</t>
  </si>
  <si>
    <t>3103-9/00</t>
  </si>
  <si>
    <t>Fabricação de móveis de outros materiais, exceto madeira e metal</t>
  </si>
  <si>
    <t>3104-7/00</t>
  </si>
  <si>
    <t>Fabricação de colchões</t>
  </si>
  <si>
    <t>3211-6/01</t>
  </si>
  <si>
    <t>Lapidação de gemas</t>
  </si>
  <si>
    <t>3211-6/02</t>
  </si>
  <si>
    <t>Fabricação de artefatos de joalheria e ourivesaria</t>
  </si>
  <si>
    <t>3211-6/03</t>
  </si>
  <si>
    <t>Cunhagem de moedas e medalhas</t>
  </si>
  <si>
    <t>3212-4/00</t>
  </si>
  <si>
    <t>Fabricação de bijuterias e artefatos semelhantes</t>
  </si>
  <si>
    <t>3220-5/00</t>
  </si>
  <si>
    <t>Fabricação de instrumentos musicais, peças e acessórios</t>
  </si>
  <si>
    <t>3230-2/00</t>
  </si>
  <si>
    <t>Fabricação de artefatos para pesca e esporte</t>
  </si>
  <si>
    <t>3240-0/01</t>
  </si>
  <si>
    <t>Fabricação de jogos eletrônicos</t>
  </si>
  <si>
    <t>3240-0/02</t>
  </si>
  <si>
    <t>Fabricação de mesas de bilhar, de sinuca e acessórios não associada à locação</t>
  </si>
  <si>
    <t>3240-0/03</t>
  </si>
  <si>
    <t>Fabricação de mesas de bilhar, de sinuca e acessórios associada à locação</t>
  </si>
  <si>
    <t>3240-0/99</t>
  </si>
  <si>
    <t>Fabricação de outros brinquedos e jogos recreativos não especificados anteriormente</t>
  </si>
  <si>
    <t>3250-7/01</t>
  </si>
  <si>
    <t>Fabricação de instrumentos não eletrônicos e utensílios para uso médico, cirúrgico, odontológico e de laboratório</t>
  </si>
  <si>
    <t>3250-7/02</t>
  </si>
  <si>
    <t>Fabricação de mobiliário para uso médico, cirúrgico, odontológico e de laboratório</t>
  </si>
  <si>
    <t>3250-7/03</t>
  </si>
  <si>
    <t>Fabricação de aparelhos e utensílios para correção de defeitos físicos e aparelhos ortopédicos em geral sob encomenda</t>
  </si>
  <si>
    <t>3250-7/04</t>
  </si>
  <si>
    <t>Fabricação de aparelhos e utensílios para correção de defeitos físicos e aparelhos ortopédicos em geral, exceto sob encomenda</t>
  </si>
  <si>
    <t>3250-7/05</t>
  </si>
  <si>
    <t>Fabricação de materiais para medicina e odontologia</t>
  </si>
  <si>
    <t>3250-7/06</t>
  </si>
  <si>
    <t>Serviços de prótese dentária</t>
  </si>
  <si>
    <t>3250-7/07</t>
  </si>
  <si>
    <t>Fabricação de artigos ópticos</t>
  </si>
  <si>
    <t>3250-7/09</t>
  </si>
  <si>
    <t>Serviço de laboratório óptico</t>
  </si>
  <si>
    <t>3291-4/00</t>
  </si>
  <si>
    <t>Fabricação de escovas, pincéis e vassouras</t>
  </si>
  <si>
    <t>3292-2/01</t>
  </si>
  <si>
    <t>Fabricação de roupas de proteção e segurança e resistentes a fogo</t>
  </si>
  <si>
    <t>3292-2/02</t>
  </si>
  <si>
    <t>Fabricação de equipamentos e acessórios para segurança pessoal e profissional</t>
  </si>
  <si>
    <t>3299-0/01</t>
  </si>
  <si>
    <t>Fabricação de guarda-chuvas e similares</t>
  </si>
  <si>
    <t>3299-0/02</t>
  </si>
  <si>
    <t>Fabricação de canetas, lápis e outros artigos para escritório</t>
  </si>
  <si>
    <t>3299-0/03</t>
  </si>
  <si>
    <t>Fabricação de letras, letreiros e placas de qualquer material, exceto luminosos</t>
  </si>
  <si>
    <t>3299-0/04</t>
  </si>
  <si>
    <t>Fabricação de painéis e letreiros luminosos</t>
  </si>
  <si>
    <t>3299-0/05</t>
  </si>
  <si>
    <t>Fabricação de aviamentos para costura</t>
  </si>
  <si>
    <t>3299-0/06</t>
  </si>
  <si>
    <t>Fabricação de velas, inclusive decorativas</t>
  </si>
  <si>
    <t>3299-0/99</t>
  </si>
  <si>
    <t>Fabricação de produtos diversos não especificados anteriormente</t>
  </si>
  <si>
    <t>3511-5/00</t>
  </si>
  <si>
    <t>Geração de energia elétrica eólica.</t>
  </si>
  <si>
    <t>3831-9/01</t>
  </si>
  <si>
    <t>Recuperação de sucatas de alumínio</t>
  </si>
  <si>
    <t>3831-9/99</t>
  </si>
  <si>
    <t>Recuperação de materiais metálicos, exceto alumínio</t>
  </si>
  <si>
    <t>3832-7/00</t>
  </si>
  <si>
    <t>Recuperação de materiais plásticos</t>
  </si>
  <si>
    <t>3839-4/01</t>
  </si>
  <si>
    <t>Usinas de compostagem</t>
  </si>
  <si>
    <t>3839-4/99</t>
  </si>
  <si>
    <t>Recuperação de materiais não especificados anteriormente</t>
  </si>
  <si>
    <t>Sim</t>
  </si>
  <si>
    <t>Não</t>
  </si>
  <si>
    <t>GRUPO</t>
  </si>
  <si>
    <t>INTENSIDADE</t>
  </si>
  <si>
    <t>PONTOS</t>
  </si>
  <si>
    <t>CNAE's</t>
  </si>
  <si>
    <t>DESCRIÇÃO CNAE</t>
  </si>
  <si>
    <t>A</t>
  </si>
  <si>
    <t>Alta 
Intensidade</t>
  </si>
  <si>
    <t>FABRICAÇÃO DE EQUIPAMENTOS DE INFORMÁTICA, PRODUTOS ELETRÔNICOS E ÓPTICOS</t>
  </si>
  <si>
    <t>FABRICAÇÃO DE VEÍCULOS AUTOMOTORES, REBOQUES E CARROCERIAS</t>
  </si>
  <si>
    <t>FABRICAÇÃO DE AERONAVES</t>
  </si>
  <si>
    <t>B</t>
  </si>
  <si>
    <t>Média-Alta Intensidade</t>
  </si>
  <si>
    <t>FABRICAÇÃO DE MÁQUINAS, APARELHOS E MATERIAIS ELÉTRICOS</t>
  </si>
  <si>
    <t>FABRICAÇÃO DE MÁQUINAS E EQUIPAMENTOS</t>
  </si>
  <si>
    <t>CONSTRUÇÕES DE EMBARCAÇÕES</t>
  </si>
  <si>
    <t>FABRICAÇÃO DE VEÍCULOS FERROVIÁRIOS</t>
  </si>
  <si>
    <t>FABRICAÇÃO DE INSTRUMENTOS E MATERIAIS PARA USO MÉDICO E ODONTOLÓGICO E ARTIGOS ÓPTICOS</t>
  </si>
  <si>
    <t>C</t>
  </si>
  <si>
    <t>FABRICAÇÃO DE PRODUTOS QUÍMICOS</t>
  </si>
  <si>
    <t>FABRICAÇÃO DE PRODUTOS FARMOQUÍMICOS E FARMACÊUTICOS</t>
  </si>
  <si>
    <t>FABRICAÇÃO DE PRODUTOS DE BORRACHA E DE MATERIAL PLÁSTICO</t>
  </si>
  <si>
    <t>FABRICAÇÃO DE EQUIPAMENTOS DE TRANSPORTE</t>
  </si>
  <si>
    <t>D</t>
  </si>
  <si>
    <t>Baixa Intensidade</t>
  </si>
  <si>
    <t>-</t>
  </si>
  <si>
    <t>Outros</t>
  </si>
  <si>
    <t>FABRICAÇÃO DE EQUIPAMENTO BÉLICO PESADO, ARMAS E MUNIÇÕES</t>
  </si>
  <si>
    <t>FABRICAÇÃO DE VEÍCULOS MILITARES DE COMBATE</t>
  </si>
  <si>
    <t>Média Intensidade</t>
  </si>
  <si>
    <t>FABRICAÇÃO DE PRODUTOS DE MINERAIS NÃO-METÁLICOS</t>
  </si>
  <si>
    <t>METALURGIA</t>
  </si>
  <si>
    <t>FABRICAÇÃO DE PRODUTOS DIVERSOS</t>
  </si>
  <si>
    <t>E</t>
  </si>
  <si>
    <t>Média-Baixa Intensidade</t>
  </si>
  <si>
    <t>FABRICAÇÃO DE PRODUTOS ALIMENTÍCIOS</t>
  </si>
  <si>
    <t>FABRICAÇÃO DE BEBIDAS</t>
  </si>
  <si>
    <t>FABRICAÇÃO DE PRODUTOS DO FUMO</t>
  </si>
  <si>
    <t>FABRICAÇÃO DE PRODUTOS TÊXTEIS</t>
  </si>
  <si>
    <t>CONFECÇÃO DE ARTIGOS DO VESTUÁRIO E ACESSÓRIOS</t>
  </si>
  <si>
    <t>REPARAÇÃO DE COUROS E FABRICAÇÃO DE ARTEFATOS DE COURO, ARTIGOS PARA VIAGEM E CALÇADOS</t>
  </si>
  <si>
    <t>FABRICAÇÃO DE PRODUTOS DE MADEIRA</t>
  </si>
  <si>
    <t>FABRICAÇÃO DE CELULOSE, PAPEL E PRODUTOS DE PAPEL</t>
  </si>
  <si>
    <t>FABRICAÇÃO DE COQUE, DE PRODUTOS DERIVADOS DO PETRÓLEO E DE BIOCOMBUSTÍVEIS</t>
  </si>
  <si>
    <t>FABRICAÇÃO DE PRODUTOS DE METAL, EXCETO MÁQUINAS E EQUIPAMENTOS</t>
  </si>
  <si>
    <t>FABRICAÇÃO DE MÓVEIS</t>
  </si>
  <si>
    <t>Baixa</t>
  </si>
  <si>
    <t>Esta em Distrito Industrial do Estado?</t>
  </si>
  <si>
    <t>Está em Distrito Industrial do Estado?</t>
  </si>
  <si>
    <t>Implantação</t>
  </si>
  <si>
    <t>Expansão</t>
  </si>
  <si>
    <t>Reativação</t>
  </si>
  <si>
    <t>Relocalização com expansão</t>
  </si>
  <si>
    <t>Não há</t>
  </si>
  <si>
    <t>Política ambiental expressa e certificada</t>
  </si>
  <si>
    <t>Programa de reutilização e/ou reciclagem de resíduos</t>
  </si>
  <si>
    <t>Programa de redução e/ou destinação de resíduos</t>
  </si>
  <si>
    <t>Valor total do projeto</t>
  </si>
  <si>
    <t>Proporção renováveis ou tecnologias limpas</t>
  </si>
  <si>
    <t>MUNICÍPIO</t>
  </si>
  <si>
    <t>IDESE MUNIC.</t>
  </si>
  <si>
    <t>IDESE COREDE</t>
  </si>
  <si>
    <t>APL*</t>
  </si>
  <si>
    <t>UNIDADES GEOGRÁFICAS DO ESTADO DO RIO GRANDE DO SUL</t>
  </si>
  <si>
    <t>INTEGRAR/IDESE MÉDIO</t>
  </si>
  <si>
    <t>Aceguá</t>
  </si>
  <si>
    <t>CAMPANHA</t>
  </si>
  <si>
    <t>COREDES</t>
  </si>
  <si>
    <t>Água Santa</t>
  </si>
  <si>
    <t>NORDESTE</t>
  </si>
  <si>
    <t>Alto da Serra do Botucaraí</t>
  </si>
  <si>
    <t>Agudo</t>
  </si>
  <si>
    <t>CENTRAL</t>
  </si>
  <si>
    <t>Alto Jacuí</t>
  </si>
  <si>
    <t>Ajuricaba</t>
  </si>
  <si>
    <t>NOROESTE COLONIAL</t>
  </si>
  <si>
    <t>Campanha</t>
  </si>
  <si>
    <t>Alecrim</t>
  </si>
  <si>
    <t>FRONTEIRA NOROESTE</t>
  </si>
  <si>
    <t>Campos de Cima da Serra</t>
  </si>
  <si>
    <t>Alegrete</t>
  </si>
  <si>
    <t>FRONTEIRA OESTE</t>
  </si>
  <si>
    <t>Celeiro</t>
  </si>
  <si>
    <t>Alegria</t>
  </si>
  <si>
    <t>Central</t>
  </si>
  <si>
    <t>Almirante Tamandaré do Sul</t>
  </si>
  <si>
    <t>PRODUÇÃO</t>
  </si>
  <si>
    <t>Centro Sul</t>
  </si>
  <si>
    <t>Alpestre</t>
  </si>
  <si>
    <t>MÉDIO ALTO URUGUAI</t>
  </si>
  <si>
    <t>Fronteira Noroeste</t>
  </si>
  <si>
    <t>Alto Alegre</t>
  </si>
  <si>
    <t>ALTO DA SERRA DO BOTUCARAÍ</t>
  </si>
  <si>
    <t>Fronteira Oeste</t>
  </si>
  <si>
    <t>Alto Feliz</t>
  </si>
  <si>
    <t>VALE DO CAÍ</t>
  </si>
  <si>
    <t>Hortênsias</t>
  </si>
  <si>
    <t>Alvorada</t>
  </si>
  <si>
    <t>METROPOLITANO DO DELTA DO JACUÍ</t>
  </si>
  <si>
    <t>Jacuí Centro</t>
  </si>
  <si>
    <t>Amaral Ferrador</t>
  </si>
  <si>
    <t>SUL</t>
  </si>
  <si>
    <t>Litoral</t>
  </si>
  <si>
    <t>Ametista do Sul</t>
  </si>
  <si>
    <t>7; 10; 11</t>
  </si>
  <si>
    <t>Médio Alto Uruguai</t>
  </si>
  <si>
    <t>André da Rocha</t>
  </si>
  <si>
    <t>CAMPOS DE CIMA DA SERRA</t>
  </si>
  <si>
    <t>Metropolitano do Delta do Jacuí</t>
  </si>
  <si>
    <t>Anta Gorda</t>
  </si>
  <si>
    <t>VALE DO TAQUARI</t>
  </si>
  <si>
    <t>Missões</t>
  </si>
  <si>
    <t>Antônio Prado</t>
  </si>
  <si>
    <t>SERRA</t>
  </si>
  <si>
    <t>Nordeste</t>
  </si>
  <si>
    <t>Arambaré</t>
  </si>
  <si>
    <t>CENTRO SUL</t>
  </si>
  <si>
    <t>Noroeste Colonial</t>
  </si>
  <si>
    <t>Araricá</t>
  </si>
  <si>
    <t>VALE DO RIO DOS SINOS</t>
  </si>
  <si>
    <t>Norte</t>
  </si>
  <si>
    <t>Aratiba</t>
  </si>
  <si>
    <t>NORTE</t>
  </si>
  <si>
    <t>Paranhana Encosta da Serra</t>
  </si>
  <si>
    <t>Arroio do Meio</t>
  </si>
  <si>
    <t>Produção</t>
  </si>
  <si>
    <t>Arroio do Padre</t>
  </si>
  <si>
    <t>Rio da Várzea</t>
  </si>
  <si>
    <t>Arroio do Sal</t>
  </si>
  <si>
    <t>LITORAL</t>
  </si>
  <si>
    <t>Serra</t>
  </si>
  <si>
    <t>Arroio do Tigre</t>
  </si>
  <si>
    <t>VALE DO RIO PARDO</t>
  </si>
  <si>
    <t>Sul</t>
  </si>
  <si>
    <t>Arroio dos Ratos</t>
  </si>
  <si>
    <t>Vale do Caí</t>
  </si>
  <si>
    <t>Arroio Grande</t>
  </si>
  <si>
    <t>Vale do Jaguarí</t>
  </si>
  <si>
    <t>Arvorezinha</t>
  </si>
  <si>
    <t>Vale do Rio dos Sinos</t>
  </si>
  <si>
    <t>Augusto Pestana</t>
  </si>
  <si>
    <t>Vale do Rio Pardo</t>
  </si>
  <si>
    <t>Áurea</t>
  </si>
  <si>
    <t>Vale do Taquari</t>
  </si>
  <si>
    <t>Bagé</t>
  </si>
  <si>
    <t>Balneário Pinhal</t>
  </si>
  <si>
    <t>Barão</t>
  </si>
  <si>
    <t>2; 6</t>
  </si>
  <si>
    <t>Barão de Cotegipe</t>
  </si>
  <si>
    <t>Barão do Triunfo</t>
  </si>
  <si>
    <t>Barra do Guarita</t>
  </si>
  <si>
    <t>CELEIRO</t>
  </si>
  <si>
    <t>Barra do Quaraí</t>
  </si>
  <si>
    <t>Barra do Ribeiro</t>
  </si>
  <si>
    <t>Barra do Rio Azul</t>
  </si>
  <si>
    <t>Barra Funda</t>
  </si>
  <si>
    <t>RIO DA VÁRZEA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</si>
  <si>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</si>
  <si>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</si>
  <si>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</si>
  <si>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</si>
  <si>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</si>
  <si>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</si>
  <si>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</si>
  <si>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ALTO JACUÍ</t>
  </si>
  <si>
    <t>10; 11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</si>
  <si>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</si>
  <si>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</si>
  <si>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</si>
  <si>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</si>
  <si>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</si>
  <si>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</si>
  <si>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</si>
  <si>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</si>
  <si>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MISSÕES</t>
  </si>
  <si>
    <t>Bozano</t>
  </si>
  <si>
    <t>Braga</t>
  </si>
  <si>
    <t>Brochier</t>
  </si>
  <si>
    <t>Butiá</t>
  </si>
  <si>
    <t>Caçapava do Sul</t>
  </si>
  <si>
    <t>Cacequi</t>
  </si>
  <si>
    <t>VALE DO JAGUARÍ</t>
  </si>
  <si>
    <t>Cachoeira do Sul</t>
  </si>
  <si>
    <t>JACUÍ CENTRO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</si>
  <si>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</si>
  <si>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</si>
  <si>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</si>
  <si>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</si>
  <si>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</si>
  <si>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</si>
  <si>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</si>
  <si>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HORTÊNSIAS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</si>
  <si>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</si>
  <si>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</si>
  <si>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</si>
  <si>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</si>
  <si>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</si>
  <si>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</si>
  <si>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</si>
  <si>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</si>
  <si>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</si>
  <si>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</si>
  <si>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</si>
  <si>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</si>
  <si>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</si>
  <si>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</si>
  <si>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</si>
  <si>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</si>
  <si>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</si>
  <si>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</si>
  <si>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</si>
  <si>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</si>
  <si>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</si>
  <si>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</si>
  <si>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</si>
  <si>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</si>
  <si>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</si>
  <si>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</si>
  <si>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</si>
  <si>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</si>
  <si>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</si>
  <si>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</si>
  <si>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</si>
  <si>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</si>
  <si>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</si>
  <si>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</si>
  <si>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</si>
  <si>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</si>
  <si>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</si>
  <si>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Chiapeta</t>
  </si>
  <si>
    <t>Chuí</t>
  </si>
  <si>
    <t>Chuvisca</t>
  </si>
  <si>
    <t>6; 7; 10; 11</t>
  </si>
  <si>
    <t>Cidreira</t>
  </si>
  <si>
    <t>Ciríaco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</si>
  <si>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</si>
  <si>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</si>
  <si>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</si>
  <si>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</si>
  <si>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</si>
  <si>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</si>
  <si>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</si>
  <si>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</si>
  <si>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</si>
  <si>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</si>
  <si>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</si>
  <si>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</si>
  <si>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</si>
  <si>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</si>
  <si>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</si>
  <si>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</si>
  <si>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</si>
  <si>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</si>
  <si>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</si>
  <si>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</si>
  <si>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</si>
  <si>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</si>
  <si>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</si>
  <si>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</si>
  <si>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</si>
  <si>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</si>
  <si>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</si>
  <si>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</si>
  <si>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</si>
  <si>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</si>
  <si>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</si>
  <si>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</si>
  <si>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</si>
  <si>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</si>
  <si>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</si>
  <si>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</si>
  <si>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</si>
  <si>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</si>
  <si>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</si>
  <si>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</si>
  <si>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</si>
  <si>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</si>
  <si>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</si>
  <si>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</si>
  <si>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</si>
  <si>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</si>
  <si>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</si>
  <si>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</si>
  <si>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</si>
  <si>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</si>
  <si>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</si>
  <si>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</si>
  <si>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</si>
  <si>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</si>
  <si>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</si>
  <si>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</si>
  <si>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</si>
  <si>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</si>
  <si>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</si>
  <si>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</si>
  <si>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</si>
  <si>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7; 10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</si>
  <si>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</si>
  <si>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</si>
  <si>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</si>
  <si>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</si>
  <si>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</si>
  <si>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</si>
  <si>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</si>
  <si>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</si>
  <si>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</si>
  <si>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</si>
  <si>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</si>
  <si>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</si>
  <si>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</si>
  <si>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</si>
  <si>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</si>
  <si>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</si>
  <si>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</si>
  <si>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</si>
  <si>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</si>
  <si>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</si>
  <si>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</si>
  <si>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</si>
  <si>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</si>
  <si>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</si>
  <si>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</si>
  <si>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</si>
  <si>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</si>
  <si>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</si>
  <si>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</si>
  <si>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</si>
  <si>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PARANHANA ENCOSTA DA SERRA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</si>
  <si>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</si>
  <si>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</si>
  <si>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</si>
  <si>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</si>
  <si>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</si>
  <si>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</si>
  <si>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</si>
  <si>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</si>
  <si>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</si>
  <si>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</si>
  <si>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</si>
  <si>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</si>
  <si>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</si>
  <si>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</si>
  <si>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</si>
  <si>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</si>
  <si>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</si>
  <si>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</si>
  <si>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</si>
  <si>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</si>
  <si>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</si>
  <si>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</si>
  <si>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</si>
  <si>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</si>
  <si>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</si>
  <si>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</si>
  <si>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</si>
  <si>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</si>
  <si>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</si>
  <si>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</si>
  <si>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</si>
  <si>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</si>
  <si>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</si>
  <si>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</si>
  <si>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</si>
  <si>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</si>
  <si>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</si>
  <si>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</si>
  <si>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</si>
  <si>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</si>
  <si>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</si>
  <si>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</si>
  <si>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</si>
  <si>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</si>
  <si>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</si>
  <si>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</si>
  <si>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</si>
  <si>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</si>
  <si>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</si>
  <si>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</si>
  <si>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</si>
  <si>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</si>
  <si>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</si>
  <si>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</si>
  <si>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</si>
  <si>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</si>
  <si>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2; 10; 11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</si>
  <si>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</si>
  <si>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</si>
  <si>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</si>
  <si>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</si>
  <si>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</si>
  <si>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</si>
  <si>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</si>
  <si>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</si>
  <si>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</si>
  <si>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</si>
  <si>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</si>
  <si>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</si>
  <si>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</si>
  <si>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</si>
  <si>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</si>
  <si>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</si>
  <si>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</si>
  <si>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</si>
  <si>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</si>
  <si>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</si>
  <si>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</si>
  <si>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</si>
  <si>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</si>
  <si>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</si>
  <si>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</si>
  <si>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</si>
  <si>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</si>
  <si>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</si>
  <si>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</si>
  <si>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</si>
  <si>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</si>
  <si>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</si>
  <si>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</si>
  <si>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</si>
  <si>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</si>
  <si>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</si>
  <si>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</si>
  <si>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</si>
  <si>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</si>
  <si>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</si>
  <si>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10;11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</si>
  <si>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</si>
  <si>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</si>
  <si>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</si>
  <si>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</si>
  <si>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</si>
  <si>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</si>
  <si>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</si>
  <si>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</si>
  <si>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</si>
  <si>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</si>
  <si>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</si>
  <si>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</si>
  <si>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</si>
  <si>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</si>
  <si>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</si>
  <si>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</si>
  <si>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</si>
  <si>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</si>
  <si>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</si>
  <si>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</si>
  <si>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</si>
  <si>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</si>
  <si>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</si>
  <si>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</si>
  <si>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</si>
  <si>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</si>
  <si>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</si>
  <si>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</si>
  <si>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</si>
  <si>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</si>
  <si>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</si>
  <si>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</si>
  <si>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</si>
  <si>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</si>
  <si>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</si>
  <si>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</si>
  <si>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</si>
  <si>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</si>
  <si>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</si>
  <si>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</si>
  <si>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</si>
  <si>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</si>
  <si>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</si>
  <si>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</si>
  <si>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</si>
  <si>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</si>
  <si>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</si>
  <si>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</si>
  <si>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</si>
  <si>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</si>
  <si>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</si>
  <si>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</si>
  <si>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</si>
  <si>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</si>
  <si>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</si>
  <si>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</si>
  <si>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</si>
  <si>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</si>
  <si>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</si>
  <si>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</si>
  <si>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</si>
  <si>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</si>
  <si>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</si>
  <si>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</si>
  <si>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</si>
  <si>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</si>
  <si>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</si>
  <si>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</si>
  <si>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</si>
  <si>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</si>
  <si>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</si>
  <si>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</si>
  <si>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Vitória do Palmar</t>
  </si>
  <si>
    <t>Santana da Boa Vista</t>
  </si>
  <si>
    <t>Santana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</si>
  <si>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</si>
  <si>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</si>
  <si>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</si>
  <si>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</si>
  <si>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</si>
  <si>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</si>
  <si>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</si>
  <si>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</si>
  <si>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7; 11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</si>
  <si>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</si>
  <si>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</si>
  <si>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</si>
  <si>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</si>
  <si>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</si>
  <si>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</si>
  <si>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</si>
  <si>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</si>
  <si>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</si>
  <si>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</si>
  <si>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</si>
  <si>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</si>
  <si>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</si>
  <si>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</si>
  <si>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</si>
  <si>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</si>
  <si>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</si>
  <si>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</si>
  <si>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</si>
  <si>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</si>
  <si>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</si>
  <si>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</si>
  <si>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</si>
  <si>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</si>
  <si>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</si>
  <si>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</si>
  <si>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</si>
  <si>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</si>
  <si>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</si>
  <si>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</si>
  <si>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</si>
  <si>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</si>
  <si>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</si>
  <si>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</si>
  <si>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</si>
  <si>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</si>
  <si>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</si>
  <si>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</si>
  <si>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</si>
  <si>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</si>
  <si>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</si>
  <si>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</si>
  <si>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</si>
  <si>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</si>
  <si>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</si>
  <si>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</si>
  <si>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</si>
  <si>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</si>
  <si>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</si>
  <si>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</si>
  <si>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</si>
  <si>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</si>
  <si>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</si>
  <si>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</si>
  <si>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</si>
  <si>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Sobradinho</t>
  </si>
  <si>
    <t>Soledade</t>
  </si>
  <si>
    <t>1; 9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</si>
  <si>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</si>
  <si>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</si>
  <si>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</si>
  <si>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</si>
  <si>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</si>
  <si>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</si>
  <si>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</si>
  <si>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</si>
  <si>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</si>
  <si>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</si>
  <si>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</si>
  <si>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</si>
  <si>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</si>
  <si>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</si>
  <si>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</si>
  <si>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</si>
  <si>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</si>
  <si>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</si>
  <si>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</si>
  <si>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</si>
  <si>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</si>
  <si>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</si>
  <si>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</si>
  <si>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</si>
  <si>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</si>
  <si>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</si>
  <si>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</si>
  <si>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</si>
  <si>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</si>
  <si>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</si>
  <si>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</si>
  <si>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</si>
  <si>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</si>
  <si>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</si>
  <si>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</si>
  <si>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</si>
  <si>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</si>
  <si>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</si>
  <si>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</si>
  <si>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</si>
  <si>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</si>
  <si>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</si>
  <si>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</si>
  <si>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</si>
  <si>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</si>
  <si>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</si>
  <si>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</si>
  <si>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</si>
  <si>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</si>
  <si>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</si>
  <si>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</si>
  <si>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</si>
  <si>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</si>
  <si>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</si>
  <si>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</si>
  <si>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</si>
  <si>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</si>
  <si>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</si>
  <si>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</si>
  <si>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</si>
  <si>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* Arranjo Produtivo Local (APL)</t>
  </si>
  <si>
    <t>1 – APL Agroindústria Familiar COREDE Médio Alto Uruguai</t>
  </si>
  <si>
    <t>2 – APL Máquinas e Equipamentos Industriais</t>
  </si>
  <si>
    <t>3 – Agroindústria Familiar COREDE Missões</t>
  </si>
  <si>
    <t>4 – Agroindústria Familiar COREDE Celeiro</t>
  </si>
  <si>
    <t>5 – Alimentos Sul</t>
  </si>
  <si>
    <t>6 – Eletroeletrônico de Automação e Controle</t>
  </si>
  <si>
    <t>7 – Metalmecânico e Automotivo da Serra Gaúcha</t>
  </si>
  <si>
    <t>8 – Metalmecânico Pós Colheita</t>
  </si>
  <si>
    <t>9 – Pedras, Gemas e Jóias</t>
  </si>
  <si>
    <t>10 – Polo de Moda</t>
  </si>
  <si>
    <t>11 – Moveleiro</t>
  </si>
  <si>
    <t>SUL/FRONTEIRA</t>
  </si>
  <si>
    <t>METADE SUL</t>
  </si>
  <si>
    <t>METADE SUL e ZONA DE FRONTEIRA</t>
  </si>
  <si>
    <t>ZONA DE FRONTEIRA</t>
  </si>
  <si>
    <t>---</t>
  </si>
  <si>
    <t>Fronteira ou Metade Sul?</t>
  </si>
  <si>
    <t>Pontuação</t>
  </si>
  <si>
    <t>Qualida de massa salarial</t>
  </si>
  <si>
    <t>Lim. Inferior</t>
  </si>
  <si>
    <t>Lim. Superior</t>
  </si>
  <si>
    <t>Pontuação salário</t>
  </si>
  <si>
    <t>CGE/10 milhões</t>
  </si>
  <si>
    <t>Empregos previstos</t>
  </si>
  <si>
    <t>Pontuação empregos</t>
  </si>
  <si>
    <t>Incentivo Básico</t>
  </si>
  <si>
    <t>Faixa</t>
  </si>
  <si>
    <t>Juros (% a.a.)</t>
  </si>
  <si>
    <t>Prazo (meses)</t>
  </si>
  <si>
    <t>Pequena</t>
  </si>
  <si>
    <t>Grande</t>
  </si>
  <si>
    <t>Fruição</t>
  </si>
  <si>
    <t>Carência</t>
  </si>
  <si>
    <t>Amortização</t>
  </si>
  <si>
    <t>(Faixa 1)</t>
  </si>
  <si>
    <t>(Faixa 2)</t>
  </si>
  <si>
    <t>(Faixa 3)</t>
  </si>
  <si>
    <t>(Faixa 4)</t>
  </si>
  <si>
    <t>(Faixa 5)</t>
  </si>
  <si>
    <t>ROB</t>
  </si>
  <si>
    <r>
      <t xml:space="preserve">Fornec. de </t>
    </r>
    <r>
      <rPr>
        <b/>
        <sz val="11"/>
        <rFont val="Calibri"/>
        <family val="2"/>
        <scheme val="minor"/>
      </rPr>
      <t>PPE</t>
    </r>
  </si>
  <si>
    <r>
      <t>P</t>
    </r>
    <r>
      <rPr>
        <sz val="11"/>
        <color theme="1"/>
        <rFont val="Calibri"/>
        <family val="2"/>
        <scheme val="minor"/>
      </rPr>
      <t>rioritários</t>
    </r>
  </si>
  <si>
    <r>
      <t>P</t>
    </r>
    <r>
      <rPr>
        <sz val="11"/>
        <color theme="1"/>
        <rFont val="Calibri"/>
        <family val="2"/>
        <scheme val="minor"/>
      </rPr>
      <t>referenciais</t>
    </r>
  </si>
  <si>
    <r>
      <t>E</t>
    </r>
    <r>
      <rPr>
        <sz val="11"/>
        <color theme="1"/>
        <rFont val="Calibri"/>
        <family val="2"/>
        <scheme val="minor"/>
      </rPr>
      <t>speciais</t>
    </r>
  </si>
  <si>
    <t>Salário Mínimo Nacional (ano calendário anterior)</t>
  </si>
  <si>
    <r>
      <t xml:space="preserve">Fornecedora de </t>
    </r>
    <r>
      <rPr>
        <b/>
        <sz val="11"/>
        <rFont val="Calibri"/>
        <family val="2"/>
        <scheme val="minor"/>
      </rPr>
      <t>PPE</t>
    </r>
  </si>
  <si>
    <t>FABRICAÇÃO DE VEÍCULOS AUTOMOTORES ELÈTRICOS</t>
  </si>
  <si>
    <t>Texto Fundopem Simulação</t>
  </si>
  <si>
    <t>Texto Integrar Simulação</t>
  </si>
  <si>
    <t>Municípios do Projeto</t>
  </si>
  <si>
    <t>Investimento</t>
  </si>
  <si>
    <t>Totais</t>
  </si>
  <si>
    <t>%</t>
  </si>
  <si>
    <t>% INTEGRAR</t>
  </si>
  <si>
    <t>Integrar (pond)</t>
  </si>
  <si>
    <t>Município pobre?</t>
  </si>
  <si>
    <t>Região pobre?</t>
  </si>
  <si>
    <t>EMPRESA</t>
  </si>
  <si>
    <t>PROJETO</t>
  </si>
  <si>
    <t>Investimento no Município</t>
  </si>
  <si>
    <t>CNAE da atividade do projeto</t>
  </si>
  <si>
    <t>Política de Impacto ambiental</t>
  </si>
  <si>
    <t>CGE Projeto</t>
  </si>
  <si>
    <t>MODALIDADE DO INCENTIVO</t>
  </si>
  <si>
    <t>Pequeno ou médio porte</t>
  </si>
  <si>
    <t>Enquadramento no Integrar/RS</t>
  </si>
  <si>
    <t>Comparativo Tradicional x Express</t>
  </si>
  <si>
    <t>Express</t>
  </si>
  <si>
    <t>Tradicional</t>
  </si>
  <si>
    <t>Pontuação do Integrar/RS</t>
  </si>
  <si>
    <t>Modalidade de incentivo desejada</t>
  </si>
  <si>
    <t>Condições para enquadramento no Fundopem EXPRESS</t>
  </si>
  <si>
    <t>Fundopem Tradicional</t>
  </si>
  <si>
    <t>ENQUADRAMENTO NO FUNDOPEM/RS</t>
  </si>
  <si>
    <t>ENQUADRAMENTO NO INTEGRAR/RS</t>
  </si>
  <si>
    <t>PARÂMETROS DO FINANCIAMENTO</t>
  </si>
  <si>
    <t>Para uso correto da planilha de simulação, preencher todos os campos em azul</t>
  </si>
  <si>
    <t>Pertence a Arranjo Produtivo Local (APL)?</t>
  </si>
  <si>
    <t xml:space="preserve"> O que é APL?</t>
  </si>
  <si>
    <t>Distrito Industrial de Alvorada/Viamão- DIAV</t>
  </si>
  <si>
    <t>Distrito Industrial de Bagé - DIB</t>
  </si>
  <si>
    <t>Distrito Industrial de Cachoeira do Sul - DICS</t>
  </si>
  <si>
    <t>Distrito Industrial de Cachoeirinha - DIC</t>
  </si>
  <si>
    <t>Distrito Industrial de Gravataí - DIG</t>
  </si>
  <si>
    <t>Distrito Industrial de Montenegro/Triunfo - DIMT</t>
  </si>
  <si>
    <t>Distrito Industrial de Rio Grande - DIRG</t>
  </si>
  <si>
    <t>Zona Mista de Guaíba - ZMG</t>
  </si>
  <si>
    <t>Método do incentivo</t>
  </si>
  <si>
    <t xml:space="preserve">Financiamento do ICMS </t>
  </si>
  <si>
    <t>Desconto nas parcelas financiadas</t>
  </si>
  <si>
    <t>Investimento em fontes energéticas renováveis (hídrica, solar, eólica, biomassa, geotérmica, oceânica e hidrogênio) ou tecnologias limpas (que previnem o elevado consumo de insumos, a poluição e a geração de resíduos) - SE HOUVER</t>
  </si>
  <si>
    <t>Método de utilização do Integrar/RS</t>
  </si>
  <si>
    <t>Investimento em equipamentos e montagens/instalações (se houver)</t>
  </si>
  <si>
    <t>Média Salarial (último exercício completo) por funcionário</t>
  </si>
  <si>
    <t>Emp. Min.</t>
  </si>
  <si>
    <t xml:space="preserve">Além da modalidade do incentivo via financiamento, uma nova forma de utilização do Fundopem foi criada com base na nova legislação do incentivo (Lei 15.642 de 31/05/2021, Decreto 56.055 de 26/08/2021, Resolução Normativa 01 - Fundopem/RS e Integrar/RS - de 20/10/2021 e alterações), de acordo com o Art. 10° da referida resolução e parágrafos 6° e 7° do Art. 23° do referido decreto. 
Chamada de Fundopem Express, essa modalidade cria a possibilidade de concessão do direito a apropriação de crédito fiscal presumido de ICMS, em substituição ao financiamento do Fundopem Tradicional.
A opção pelo Express é concedida apenas às empresas de pequeno e médio porte cujos empreendimentos forem enquadrados no Integrar/RS. </t>
  </si>
  <si>
    <t>pontos para enquadramento do projeto no Fundopem, o projeto poderá ter pontuação adicional de até 15 pontos percentuais em função da procedência dos insumos e serviços nos termos do artigo 5º da Resolução Normativa nº 01 – FUNDOPEM/RS de 20/10/2021 e alterações.</t>
  </si>
  <si>
    <t>pontos percentuais quando a atividade objeto do investimento compreender a produção de insumos, superior a 30% do Faturamento Bruto da Empresa, classificadas nos Setores Estratégicos (Prioritário, Preferencial e Especial), nos termos do item XVI do artigo 1º da Resolução Normativa nº 01 – FUNDOPEM/RS de 20/10/2021 e alterações.</t>
  </si>
  <si>
    <t>Investimento em centro de pesquisa e desenvolvimento (conjunto de instalações físicas, especialmente independentes e identificáveis, utilizadas para a realização de atividades de pesquisa, desenvolvimento tecnológico e inovação)</t>
  </si>
  <si>
    <t>pontos percentuais quando a atividade objeto do investimento compreender a produção de insumos, superior a 30% do Faturamento Bruto da Empresa, destinados a indústrias estabelicidas no Estado, classificadas nos Setores Estratégicos (Prioritário, Preferencial e Especial), nos termos do item XVI do artigo 1º da Resolução Normativa nº 01 – FUNDOPEM/RS de 20/10/2021 e alterações.</t>
  </si>
  <si>
    <t>Base média</t>
  </si>
  <si>
    <t>Tabela III-A</t>
  </si>
  <si>
    <t>Quantidade de empregos atuais</t>
  </si>
  <si>
    <t>Receita Operacional Líquida da Empresa (ROL)</t>
  </si>
  <si>
    <t>Previsão de geração de empregos</t>
  </si>
  <si>
    <t>Enquadramento por empregos</t>
  </si>
  <si>
    <t>Porte</t>
  </si>
  <si>
    <t>Índice</t>
  </si>
  <si>
    <t>*(C): com possibilidade de enquadramento no INTEGRAR pela geração mínima de empregos prevista na Tabela III-A, o percentual de abatimento do projeto corresponde a 50% do Índice de Desenvolvimento INTEGRAR/IDESE e o projeto somente poderá pontuar no critério de geração de empregos incrementais conforme Tabela V, nos termos do artigo 7º da Resolução Normativa nº 01 – FUNDOPEM/RS de 20/10/2021 e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</si>
</sst>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#,##0.000"/>
    <numFmt numFmtId="165" formatCode="0.000"/>
    <numFmt numFmtId="166" formatCode="0.0000"/>
    <numFmt numFmtId="167" formatCode="0.00E+000"/>
    <numFmt numFmtId="168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426">
    <xf numFmtId="0" fontId="0" fillId="0" borderId="0" xfId="0"/>
    <xf numFmtId="0" fontId="0" fillId="0" borderId="1" xfId="0" applyBorder="1" applyAlignment="1">
      <alignment horizontal="center" vertical="center" wrapText="1"/>
    </xf>
    <xf numFmtId="9" fontId="1" fillId="0" borderId="1" xfId="2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4" xfId="0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9" fontId="1" fillId="0" borderId="67" xfId="2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2" fontId="0" fillId="0" borderId="67" xfId="0" applyNumberForma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8" fillId="2" borderId="33" xfId="0" applyFont="1" applyFill="1" applyBorder="1" applyAlignment="1" applyProtection="1">
      <alignment horizontal="center"/>
      <protection hidden="1"/>
    </xf>
    <xf numFmtId="0" fontId="8" fillId="2" borderId="34" xfId="0" applyFont="1" applyFill="1" applyBorder="1" applyAlignment="1" applyProtection="1">
      <alignment horizontal="center"/>
      <protection hidden="1"/>
    </xf>
    <xf numFmtId="0" fontId="8" fillId="2" borderId="35" xfId="0" applyFont="1" applyFill="1" applyBorder="1" applyAlignment="1" applyProtection="1">
      <alignment horizontal="center"/>
      <protection hidden="1"/>
    </xf>
    <xf numFmtId="0" fontId="8" fillId="2" borderId="56" xfId="0" applyFont="1" applyFill="1" applyBorder="1" applyAlignment="1" applyProtection="1">
      <alignment horizontal="center"/>
      <protection hidden="1"/>
    </xf>
    <xf numFmtId="0" fontId="0" fillId="0" borderId="41" xfId="0" applyFont="1" applyFill="1" applyBorder="1" applyAlignment="1" applyProtection="1">
      <alignment horizontal="center"/>
      <protection hidden="1"/>
    </xf>
    <xf numFmtId="0" fontId="0" fillId="0" borderId="40" xfId="0" applyFont="1" applyFill="1" applyBorder="1" applyProtection="1">
      <protection hidden="1"/>
    </xf>
    <xf numFmtId="0" fontId="0" fillId="0" borderId="55" xfId="0" applyFont="1" applyFill="1" applyBorder="1" applyAlignment="1" applyProtection="1">
      <alignment horizontal="center"/>
      <protection hidden="1"/>
    </xf>
    <xf numFmtId="0" fontId="0" fillId="0" borderId="44" xfId="0" applyFont="1" applyBorder="1" applyAlignment="1" applyProtection="1">
      <alignment horizontal="center"/>
      <protection hidden="1"/>
    </xf>
    <xf numFmtId="0" fontId="0" fillId="0" borderId="18" xfId="0" applyFont="1" applyFill="1" applyBorder="1" applyAlignment="1" applyProtection="1">
      <alignment horizontal="center"/>
      <protection hidden="1"/>
    </xf>
    <xf numFmtId="0" fontId="0" fillId="0" borderId="10" xfId="0" applyFont="1" applyFill="1" applyBorder="1" applyProtection="1">
      <protection hidden="1"/>
    </xf>
    <xf numFmtId="0" fontId="0" fillId="0" borderId="11" xfId="0" applyFont="1" applyFill="1" applyBorder="1" applyAlignment="1" applyProtection="1">
      <alignment horizontal="center"/>
      <protection hidden="1"/>
    </xf>
    <xf numFmtId="0" fontId="0" fillId="0" borderId="47" xfId="0" applyFont="1" applyBorder="1" applyAlignment="1" applyProtection="1">
      <alignment horizontal="center"/>
      <protection hidden="1"/>
    </xf>
    <xf numFmtId="0" fontId="9" fillId="6" borderId="18" xfId="0" applyFont="1" applyFill="1" applyBorder="1" applyAlignment="1" applyProtection="1">
      <alignment horizontal="center"/>
      <protection hidden="1"/>
    </xf>
    <xf numFmtId="0" fontId="9" fillId="6" borderId="10" xfId="0" applyFont="1" applyFill="1" applyBorder="1" applyProtection="1">
      <protection hidden="1"/>
    </xf>
    <xf numFmtId="0" fontId="0" fillId="6" borderId="11" xfId="0" applyFont="1" applyFill="1" applyBorder="1" applyAlignment="1" applyProtection="1">
      <alignment horizontal="center"/>
      <protection hidden="1"/>
    </xf>
    <xf numFmtId="0" fontId="0" fillId="6" borderId="18" xfId="0" applyFont="1" applyFill="1" applyBorder="1" applyAlignment="1" applyProtection="1">
      <alignment horizontal="center"/>
      <protection hidden="1"/>
    </xf>
    <xf numFmtId="0" fontId="0" fillId="6" borderId="10" xfId="0" applyFont="1" applyFill="1" applyBorder="1" applyProtection="1">
      <protection hidden="1"/>
    </xf>
    <xf numFmtId="0" fontId="0" fillId="5" borderId="18" xfId="0" applyFont="1" applyFill="1" applyBorder="1" applyAlignment="1" applyProtection="1">
      <alignment horizontal="center"/>
      <protection hidden="1"/>
    </xf>
    <xf numFmtId="0" fontId="0" fillId="5" borderId="10" xfId="0" applyFont="1" applyFill="1" applyBorder="1" applyProtection="1">
      <protection hidden="1"/>
    </xf>
    <xf numFmtId="0" fontId="0" fillId="5" borderId="11" xfId="0" applyFont="1" applyFill="1" applyBorder="1" applyAlignment="1" applyProtection="1">
      <alignment horizontal="center"/>
      <protection hidden="1"/>
    </xf>
    <xf numFmtId="0" fontId="0" fillId="4" borderId="18" xfId="0" applyFont="1" applyFill="1" applyBorder="1" applyAlignment="1" applyProtection="1">
      <alignment horizontal="center"/>
      <protection hidden="1"/>
    </xf>
    <xf numFmtId="0" fontId="0" fillId="4" borderId="10" xfId="0" applyFont="1" applyFill="1" applyBorder="1" applyProtection="1">
      <protection hidden="1"/>
    </xf>
    <xf numFmtId="0" fontId="0" fillId="4" borderId="11" xfId="0" applyFont="1" applyFill="1" applyBorder="1" applyAlignment="1" applyProtection="1">
      <alignment horizontal="center"/>
      <protection hidden="1"/>
    </xf>
    <xf numFmtId="0" fontId="9" fillId="0" borderId="10" xfId="0" applyFont="1" applyFill="1" applyBorder="1" applyProtection="1">
      <protection hidden="1"/>
    </xf>
    <xf numFmtId="0" fontId="0" fillId="0" borderId="26" xfId="0" applyFont="1" applyFill="1" applyBorder="1" applyAlignment="1" applyProtection="1">
      <alignment horizontal="center"/>
      <protection hidden="1"/>
    </xf>
    <xf numFmtId="0" fontId="9" fillId="0" borderId="20" xfId="0" applyFont="1" applyFill="1" applyBorder="1" applyProtection="1">
      <protection hidden="1"/>
    </xf>
    <xf numFmtId="0" fontId="0" fillId="0" borderId="54" xfId="0" applyFont="1" applyFill="1" applyBorder="1" applyAlignment="1" applyProtection="1">
      <alignment horizontal="center"/>
      <protection hidden="1"/>
    </xf>
    <xf numFmtId="0" fontId="0" fillId="0" borderId="45" xfId="0" applyFont="1" applyBorder="1" applyAlignment="1" applyProtection="1">
      <alignment horizontal="center"/>
      <protection hidden="1"/>
    </xf>
    <xf numFmtId="0" fontId="0" fillId="0" borderId="40" xfId="0" applyFont="1" applyFill="1" applyBorder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0" xfId="0" applyNumberFormat="1" applyFont="1" applyProtection="1">
      <protection hidden="1"/>
    </xf>
    <xf numFmtId="0" fontId="11" fillId="9" borderId="33" xfId="0" applyFont="1" applyFill="1" applyBorder="1" applyAlignment="1" applyProtection="1">
      <alignment horizontal="center" vertical="center" wrapText="1"/>
      <protection hidden="1"/>
    </xf>
    <xf numFmtId="0" fontId="11" fillId="9" borderId="34" xfId="0" applyFont="1" applyFill="1" applyBorder="1" applyAlignment="1" applyProtection="1">
      <alignment horizontal="center" vertical="center" wrapText="1"/>
      <protection hidden="1"/>
    </xf>
    <xf numFmtId="164" fontId="11" fillId="9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9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9" borderId="35" xfId="0" applyFont="1" applyFill="1" applyBorder="1" applyAlignment="1" applyProtection="1">
      <alignment horizontal="center" vertical="center"/>
      <protection hidden="1"/>
    </xf>
    <xf numFmtId="0" fontId="12" fillId="0" borderId="31" xfId="0" applyFont="1" applyFill="1" applyBorder="1" applyAlignment="1" applyProtection="1">
      <alignment horizontal="left" vertical="center" wrapText="1"/>
      <protection hidden="1"/>
    </xf>
    <xf numFmtId="166" fontId="12" fillId="0" borderId="29" xfId="0" applyNumberFormat="1" applyFont="1" applyFill="1" applyBorder="1" applyAlignment="1" applyProtection="1">
      <alignment horizontal="center" vertical="center"/>
      <protection hidden="1"/>
    </xf>
    <xf numFmtId="0" fontId="12" fillId="0" borderId="29" xfId="0" applyFont="1" applyFill="1" applyBorder="1" applyAlignment="1" applyProtection="1">
      <alignment horizontal="left" vertical="center" wrapText="1"/>
      <protection hidden="1"/>
    </xf>
    <xf numFmtId="164" fontId="12" fillId="0" borderId="29" xfId="0" applyNumberFormat="1" applyFont="1" applyFill="1" applyBorder="1" applyAlignment="1" applyProtection="1">
      <alignment horizontal="center" vertical="center"/>
      <protection hidden="1"/>
    </xf>
    <xf numFmtId="0" fontId="12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39" xfId="0" applyFont="1" applyFill="1" applyBorder="1" applyAlignment="1" applyProtection="1">
      <alignment horizontal="center" vertical="center"/>
      <protection hidden="1"/>
    </xf>
    <xf numFmtId="0" fontId="12" fillId="0" borderId="15" xfId="0" applyFont="1" applyFill="1" applyBorder="1" applyAlignment="1" applyProtection="1">
      <alignment horizontal="left" vertical="center" wrapText="1"/>
      <protection hidden="1"/>
    </xf>
    <xf numFmtId="165" fontId="12" fillId="0" borderId="16" xfId="0" applyNumberFormat="1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vertical="center" wrapText="1"/>
      <protection hidden="1"/>
    </xf>
    <xf numFmtId="164" fontId="12" fillId="0" borderId="16" xfId="0" applyNumberFormat="1" applyFont="1" applyFill="1" applyBorder="1" applyAlignment="1" applyProtection="1">
      <alignment horizontal="center" vertical="center"/>
      <protection hidden="1"/>
    </xf>
    <xf numFmtId="10" fontId="13" fillId="0" borderId="16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14" fillId="2" borderId="31" xfId="0" applyFont="1" applyFill="1" applyBorder="1" applyAlignment="1" applyProtection="1">
      <alignment horizontal="center" vertical="center"/>
      <protection hidden="1"/>
    </xf>
    <xf numFmtId="165" fontId="15" fillId="2" borderId="39" xfId="0" applyNumberFormat="1" applyFont="1" applyFill="1" applyBorder="1" applyAlignment="1" applyProtection="1">
      <alignment vertical="center"/>
      <protection hidden="1"/>
    </xf>
    <xf numFmtId="0" fontId="12" fillId="0" borderId="18" xfId="0" applyFont="1" applyFill="1" applyBorder="1" applyAlignment="1" applyProtection="1">
      <alignment horizontal="left" vertical="center" wrapText="1"/>
      <protection hidden="1"/>
    </xf>
    <xf numFmtId="165" fontId="12" fillId="0" borderId="10" xfId="0" applyNumberFormat="1" applyFont="1" applyFill="1" applyBorder="1" applyAlignment="1" applyProtection="1">
      <alignment horizontal="center" vertical="center"/>
      <protection hidden="1"/>
    </xf>
    <xf numFmtId="0" fontId="12" fillId="0" borderId="10" xfId="0" applyFont="1" applyFill="1" applyBorder="1" applyAlignment="1" applyProtection="1">
      <alignment horizontal="left" vertical="center" wrapText="1"/>
      <protection hidden="1"/>
    </xf>
    <xf numFmtId="164" fontId="12" fillId="0" borderId="10" xfId="0" applyNumberFormat="1" applyFont="1" applyFill="1" applyBorder="1" applyAlignment="1" applyProtection="1">
      <alignment horizontal="center" vertical="center"/>
      <protection hidden="1"/>
    </xf>
    <xf numFmtId="10" fontId="13" fillId="0" borderId="10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Protection="1">
      <protection hidden="1"/>
    </xf>
    <xf numFmtId="165" fontId="15" fillId="0" borderId="17" xfId="0" applyNumberFormat="1" applyFont="1" applyFill="1" applyBorder="1" applyProtection="1">
      <protection hidden="1"/>
    </xf>
    <xf numFmtId="0" fontId="12" fillId="0" borderId="10" xfId="0" applyFont="1" applyFill="1" applyBorder="1" applyAlignment="1" applyProtection="1">
      <alignment vertical="center" wrapText="1"/>
      <protection hidden="1"/>
    </xf>
    <xf numFmtId="0" fontId="15" fillId="0" borderId="18" xfId="0" applyFont="1" applyFill="1" applyBorder="1" applyProtection="1">
      <protection hidden="1"/>
    </xf>
    <xf numFmtId="165" fontId="15" fillId="0" borderId="19" xfId="0" applyNumberFormat="1" applyFont="1" applyFill="1" applyBorder="1" applyProtection="1">
      <protection hidden="1"/>
    </xf>
    <xf numFmtId="0" fontId="15" fillId="0" borderId="26" xfId="0" applyFont="1" applyFill="1" applyBorder="1" applyProtection="1">
      <protection hidden="1"/>
    </xf>
    <xf numFmtId="165" fontId="15" fillId="0" borderId="21" xfId="0" applyNumberFormat="1" applyFont="1" applyFill="1" applyBorder="1" applyProtection="1">
      <protection hidden="1"/>
    </xf>
    <xf numFmtId="10" fontId="13" fillId="0" borderId="0" xfId="0" applyNumberFormat="1" applyFont="1" applyProtection="1">
      <protection hidden="1"/>
    </xf>
    <xf numFmtId="0" fontId="12" fillId="11" borderId="18" xfId="0" applyFont="1" applyFill="1" applyBorder="1" applyAlignment="1" applyProtection="1">
      <alignment horizontal="left" vertical="center" wrapText="1"/>
      <protection hidden="1"/>
    </xf>
    <xf numFmtId="167" fontId="12" fillId="0" borderId="19" xfId="0" applyNumberFormat="1" applyFont="1" applyFill="1" applyBorder="1" applyAlignment="1" applyProtection="1">
      <alignment horizontal="center" vertical="center"/>
      <protection hidden="1"/>
    </xf>
    <xf numFmtId="0" fontId="12" fillId="0" borderId="26" xfId="0" applyFont="1" applyFill="1" applyBorder="1" applyAlignment="1" applyProtection="1">
      <alignment horizontal="left" vertical="center" wrapText="1"/>
      <protection hidden="1"/>
    </xf>
    <xf numFmtId="165" fontId="12" fillId="0" borderId="20" xfId="0" applyNumberFormat="1" applyFont="1" applyFill="1" applyBorder="1" applyAlignment="1" applyProtection="1">
      <alignment horizontal="center" vertical="center"/>
      <protection hidden="1"/>
    </xf>
    <xf numFmtId="0" fontId="12" fillId="0" borderId="20" xfId="0" applyFont="1" applyFill="1" applyBorder="1" applyAlignment="1" applyProtection="1">
      <alignment horizontal="left" vertical="center" wrapText="1"/>
      <protection hidden="1"/>
    </xf>
    <xf numFmtId="164" fontId="12" fillId="0" borderId="20" xfId="0" applyNumberFormat="1" applyFont="1" applyFill="1" applyBorder="1" applyAlignment="1" applyProtection="1">
      <alignment horizontal="center" vertical="center"/>
      <protection hidden="1"/>
    </xf>
    <xf numFmtId="10" fontId="13" fillId="0" borderId="20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164" fontId="12" fillId="0" borderId="0" xfId="0" applyNumberFormat="1" applyFont="1" applyAlignment="1" applyProtection="1">
      <alignment horizontal="center" vertical="center"/>
      <protection hidden="1"/>
    </xf>
    <xf numFmtId="0" fontId="12" fillId="0" borderId="0" xfId="0" applyNumberFormat="1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7" borderId="12" xfId="0" applyFill="1" applyBorder="1" applyAlignment="1" applyProtection="1">
      <alignment horizontal="center" vertical="center"/>
      <protection hidden="1"/>
    </xf>
    <xf numFmtId="0" fontId="0" fillId="7" borderId="13" xfId="0" applyFill="1" applyBorder="1" applyAlignment="1" applyProtection="1">
      <alignment horizontal="center" vertical="center"/>
      <protection hidden="1"/>
    </xf>
    <xf numFmtId="0" fontId="0" fillId="7" borderId="14" xfId="0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left" vertical="center" inden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left" vertical="center" inden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left" vertical="center" indent="1"/>
      <protection hidden="1"/>
    </xf>
    <xf numFmtId="0" fontId="0" fillId="8" borderId="16" xfId="0" applyFill="1" applyBorder="1" applyAlignment="1" applyProtection="1">
      <alignment horizontal="center" vertical="center" wrapText="1"/>
      <protection hidden="1"/>
    </xf>
    <xf numFmtId="0" fontId="0" fillId="8" borderId="17" xfId="0" applyFill="1" applyBorder="1" applyAlignment="1" applyProtection="1">
      <alignment horizontal="left" vertical="center" indent="1"/>
      <protection hidden="1"/>
    </xf>
    <xf numFmtId="0" fontId="0" fillId="8" borderId="10" xfId="0" applyFill="1" applyBorder="1" applyAlignment="1" applyProtection="1">
      <alignment horizontal="center" vertical="center" wrapText="1"/>
      <protection hidden="1"/>
    </xf>
    <xf numFmtId="0" fontId="0" fillId="8" borderId="19" xfId="0" applyFill="1" applyBorder="1" applyAlignment="1" applyProtection="1">
      <alignment horizontal="left" vertical="center" inden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8" borderId="27" xfId="0" applyFill="1" applyBorder="1" applyAlignment="1" applyProtection="1">
      <alignment horizontal="left" vertical="center" indent="1"/>
      <protection hidden="1"/>
    </xf>
    <xf numFmtId="0" fontId="0" fillId="8" borderId="20" xfId="0" applyFill="1" applyBorder="1" applyAlignment="1" applyProtection="1">
      <alignment horizontal="center" vertical="center" wrapText="1"/>
      <protection hidden="1"/>
    </xf>
    <xf numFmtId="0" fontId="0" fillId="8" borderId="21" xfId="0" applyFill="1" applyBorder="1" applyAlignment="1" applyProtection="1">
      <alignment horizontal="left" vertical="center" indent="1"/>
      <protection hidden="1"/>
    </xf>
    <xf numFmtId="0" fontId="0" fillId="0" borderId="25" xfId="0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left" vertical="center" indent="1"/>
      <protection hidden="1"/>
    </xf>
    <xf numFmtId="0" fontId="18" fillId="12" borderId="33" xfId="0" applyFont="1" applyFill="1" applyBorder="1" applyAlignment="1" applyProtection="1">
      <alignment horizontal="center" vertical="center" wrapText="1"/>
      <protection hidden="1"/>
    </xf>
    <xf numFmtId="0" fontId="18" fillId="12" borderId="34" xfId="0" applyFont="1" applyFill="1" applyBorder="1" applyAlignment="1" applyProtection="1">
      <alignment horizontal="center" vertical="center" wrapText="1"/>
      <protection hidden="1"/>
    </xf>
    <xf numFmtId="0" fontId="18" fillId="12" borderId="35" xfId="0" applyFont="1" applyFill="1" applyBorder="1" applyAlignment="1" applyProtection="1">
      <alignment horizontal="left" vertical="center" indent="1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19" fillId="0" borderId="56" xfId="0" applyFont="1" applyBorder="1" applyProtection="1">
      <protection hidden="1"/>
    </xf>
    <xf numFmtId="0" fontId="0" fillId="0" borderId="41" xfId="0" applyBorder="1" applyProtection="1">
      <protection hidden="1"/>
    </xf>
    <xf numFmtId="44" fontId="0" fillId="0" borderId="10" xfId="1" applyFont="1" applyBorder="1" applyAlignment="1" applyProtection="1">
      <alignment horizontal="center"/>
      <protection hidden="1"/>
    </xf>
    <xf numFmtId="10" fontId="0" fillId="0" borderId="40" xfId="2" applyNumberFormat="1" applyFont="1" applyBorder="1" applyAlignment="1" applyProtection="1">
      <alignment horizontal="center"/>
      <protection hidden="1"/>
    </xf>
    <xf numFmtId="10" fontId="0" fillId="0" borderId="55" xfId="2" applyNumberFormat="1" applyFont="1" applyBorder="1" applyAlignment="1" applyProtection="1">
      <alignment horizontal="center"/>
      <protection hidden="1"/>
    </xf>
    <xf numFmtId="165" fontId="0" fillId="0" borderId="15" xfId="0" applyNumberFormat="1" applyBorder="1" applyAlignment="1" applyProtection="1">
      <alignment horizontal="center"/>
      <protection hidden="1"/>
    </xf>
    <xf numFmtId="165" fontId="0" fillId="0" borderId="69" xfId="0" applyNumberFormat="1" applyBorder="1" applyAlignment="1" applyProtection="1">
      <alignment horizontal="center"/>
      <protection hidden="1"/>
    </xf>
    <xf numFmtId="0" fontId="0" fillId="0" borderId="44" xfId="0" applyBorder="1" applyProtection="1">
      <protection hidden="1"/>
    </xf>
    <xf numFmtId="165" fontId="0" fillId="0" borderId="18" xfId="0" applyNumberFormat="1" applyBorder="1" applyAlignment="1" applyProtection="1">
      <alignment horizontal="center"/>
      <protection hidden="1"/>
    </xf>
    <xf numFmtId="165" fontId="0" fillId="0" borderId="11" xfId="0" applyNumberFormat="1" applyBorder="1" applyAlignment="1" applyProtection="1">
      <alignment horizontal="center"/>
      <protection hidden="1"/>
    </xf>
    <xf numFmtId="0" fontId="0" fillId="0" borderId="47" xfId="0" applyBorder="1" applyProtection="1">
      <protection hidden="1"/>
    </xf>
    <xf numFmtId="165" fontId="0" fillId="0" borderId="26" xfId="0" applyNumberFormat="1" applyBorder="1" applyAlignment="1" applyProtection="1">
      <alignment horizontal="center"/>
      <protection hidden="1"/>
    </xf>
    <xf numFmtId="165" fontId="0" fillId="0" borderId="54" xfId="0" applyNumberFormat="1" applyBorder="1" applyAlignment="1" applyProtection="1">
      <alignment horizontal="center"/>
      <protection hidden="1"/>
    </xf>
    <xf numFmtId="0" fontId="0" fillId="0" borderId="45" xfId="0" applyBorder="1" applyProtection="1">
      <protection hidden="1"/>
    </xf>
    <xf numFmtId="0" fontId="3" fillId="0" borderId="33" xfId="0" applyFont="1" applyBorder="1" applyAlignment="1" applyProtection="1">
      <alignment horizontal="right"/>
      <protection hidden="1"/>
    </xf>
    <xf numFmtId="44" fontId="0" fillId="0" borderId="34" xfId="0" applyNumberFormat="1" applyBorder="1" applyAlignment="1" applyProtection="1">
      <alignment horizontal="center"/>
      <protection hidden="1"/>
    </xf>
    <xf numFmtId="10" fontId="0" fillId="0" borderId="34" xfId="2" applyNumberFormat="1" applyFont="1" applyBorder="1" applyAlignment="1" applyProtection="1">
      <alignment horizontal="center"/>
      <protection hidden="1"/>
    </xf>
    <xf numFmtId="10" fontId="3" fillId="0" borderId="35" xfId="2" applyNumberFormat="1" applyFont="1" applyBorder="1" applyAlignment="1" applyProtection="1">
      <alignment horizontal="center"/>
      <protection hidden="1"/>
    </xf>
    <xf numFmtId="0" fontId="0" fillId="2" borderId="44" xfId="0" applyFill="1" applyBorder="1" applyAlignment="1" applyProtection="1">
      <alignment vertical="center"/>
      <protection hidden="1"/>
    </xf>
    <xf numFmtId="0" fontId="0" fillId="2" borderId="43" xfId="0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center"/>
      <protection hidden="1"/>
    </xf>
    <xf numFmtId="0" fontId="0" fillId="0" borderId="46" xfId="0" applyBorder="1" applyAlignment="1" applyProtection="1">
      <alignment horizontal="center"/>
      <protection hidden="1"/>
    </xf>
    <xf numFmtId="44" fontId="0" fillId="0" borderId="48" xfId="1" applyFont="1" applyFill="1" applyBorder="1" applyAlignment="1" applyProtection="1">
      <alignment vertical="center"/>
      <protection hidden="1"/>
    </xf>
    <xf numFmtId="44" fontId="0" fillId="0" borderId="49" xfId="1" applyFont="1" applyFill="1" applyBorder="1" applyAlignment="1" applyProtection="1">
      <alignment vertical="center"/>
      <protection hidden="1"/>
    </xf>
    <xf numFmtId="0" fontId="0" fillId="0" borderId="47" xfId="0" applyBorder="1" applyAlignment="1" applyProtection="1">
      <alignment horizontal="center"/>
      <protection hidden="1"/>
    </xf>
    <xf numFmtId="44" fontId="0" fillId="0" borderId="50" xfId="1" applyFont="1" applyFill="1" applyBorder="1" applyAlignment="1" applyProtection="1">
      <alignment vertical="center"/>
      <protection hidden="1"/>
    </xf>
    <xf numFmtId="44" fontId="0" fillId="0" borderId="51" xfId="1" applyFont="1" applyFill="1" applyBorder="1" applyAlignment="1" applyProtection="1">
      <alignment vertical="center"/>
      <protection hidden="1"/>
    </xf>
    <xf numFmtId="0" fontId="0" fillId="0" borderId="45" xfId="0" applyBorder="1" applyAlignment="1" applyProtection="1">
      <alignment horizontal="center"/>
      <protection hidden="1"/>
    </xf>
    <xf numFmtId="44" fontId="0" fillId="0" borderId="52" xfId="1" applyFont="1" applyFill="1" applyBorder="1" applyAlignment="1" applyProtection="1">
      <alignment vertical="center"/>
      <protection hidden="1"/>
    </xf>
    <xf numFmtId="44" fontId="0" fillId="0" borderId="53" xfId="1" applyFont="1" applyFill="1" applyBorder="1" applyAlignment="1" applyProtection="1">
      <alignment vertic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0" fillId="0" borderId="35" xfId="0" applyBorder="1" applyProtection="1"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10" xfId="0" applyBorder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top"/>
      <protection hidden="1"/>
    </xf>
    <xf numFmtId="0" fontId="0" fillId="2" borderId="36" xfId="0" applyFill="1" applyBorder="1" applyProtection="1">
      <protection hidden="1"/>
    </xf>
    <xf numFmtId="0" fontId="0" fillId="2" borderId="37" xfId="0" applyFill="1" applyBorder="1" applyProtection="1">
      <protection hidden="1"/>
    </xf>
    <xf numFmtId="0" fontId="21" fillId="2" borderId="37" xfId="0" applyFont="1" applyFill="1" applyBorder="1" applyAlignment="1" applyProtection="1">
      <alignment vertical="center"/>
      <protection hidden="1"/>
    </xf>
    <xf numFmtId="0" fontId="0" fillId="2" borderId="38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0" fillId="2" borderId="3" xfId="0" applyFill="1" applyBorder="1" applyProtection="1">
      <protection hidden="1"/>
    </xf>
    <xf numFmtId="44" fontId="0" fillId="2" borderId="2" xfId="1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21" fillId="2" borderId="5" xfId="0" applyFont="1" applyFill="1" applyBorder="1" applyAlignment="1" applyProtection="1">
      <alignment vertical="center"/>
      <protection hidden="1"/>
    </xf>
    <xf numFmtId="0" fontId="0" fillId="2" borderId="6" xfId="0" applyFill="1" applyBorder="1" applyProtection="1">
      <protection hidden="1"/>
    </xf>
    <xf numFmtId="0" fontId="22" fillId="2" borderId="0" xfId="0" applyFont="1" applyFill="1" applyBorder="1" applyAlignment="1" applyProtection="1">
      <protection hidden="1"/>
    </xf>
    <xf numFmtId="2" fontId="0" fillId="2" borderId="0" xfId="0" applyNumberFormat="1" applyFill="1" applyBorder="1" applyAlignment="1" applyProtection="1">
      <alignment vertical="center"/>
      <protection hidden="1"/>
    </xf>
    <xf numFmtId="0" fontId="21" fillId="2" borderId="37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right"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right" vertical="center"/>
      <protection hidden="1"/>
    </xf>
    <xf numFmtId="0" fontId="18" fillId="2" borderId="0" xfId="0" applyFont="1" applyFill="1" applyBorder="1" applyProtection="1"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10" fontId="0" fillId="2" borderId="0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left" vertical="center" inden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horizontal="left" vertical="center" indent="1"/>
      <protection hidden="1"/>
    </xf>
    <xf numFmtId="0" fontId="9" fillId="2" borderId="5" xfId="3" applyFont="1" applyFill="1" applyBorder="1" applyAlignment="1" applyProtection="1">
      <alignment horizontal="left" vertical="center"/>
      <protection hidden="1"/>
    </xf>
    <xf numFmtId="164" fontId="10" fillId="2" borderId="5" xfId="0" applyNumberFormat="1" applyFont="1" applyFill="1" applyBorder="1" applyAlignment="1" applyProtection="1">
      <alignment horizontal="left" vertical="center" wrapText="1"/>
      <protection hidden="1"/>
    </xf>
    <xf numFmtId="4" fontId="0" fillId="2" borderId="5" xfId="0" applyNumberForma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21" fillId="2" borderId="0" xfId="0" applyFont="1" applyFill="1" applyBorder="1" applyAlignment="1" applyProtection="1">
      <alignment vertical="center" textRotation="90" wrapText="1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21" fillId="2" borderId="5" xfId="0" applyFont="1" applyFill="1" applyBorder="1" applyAlignment="1" applyProtection="1">
      <alignment vertical="center" textRotation="90" wrapText="1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3" fillId="11" borderId="68" xfId="0" applyFont="1" applyFill="1" applyBorder="1" applyAlignment="1" applyProtection="1">
      <alignment horizontal="center" vertical="center"/>
      <protection hidden="1"/>
    </xf>
    <xf numFmtId="168" fontId="8" fillId="11" borderId="68" xfId="4" applyNumberFormat="1" applyFont="1" applyFill="1" applyBorder="1" applyAlignment="1" applyProtection="1">
      <alignment horizontal="center" vertical="center"/>
      <protection hidden="1"/>
    </xf>
    <xf numFmtId="0" fontId="0" fillId="13" borderId="68" xfId="0" applyFill="1" applyBorder="1" applyAlignment="1" applyProtection="1">
      <alignment vertical="center"/>
      <protection locked="0"/>
    </xf>
    <xf numFmtId="2" fontId="0" fillId="13" borderId="68" xfId="0" applyNumberFormat="1" applyFill="1" applyBorder="1" applyAlignment="1" applyProtection="1">
      <alignment vertical="center"/>
      <protection locked="0"/>
    </xf>
    <xf numFmtId="9" fontId="6" fillId="0" borderId="10" xfId="2" applyFont="1" applyBorder="1" applyAlignment="1" applyProtection="1">
      <alignment horizontal="center" vertical="center" wrapText="1"/>
      <protection hidden="1"/>
    </xf>
    <xf numFmtId="9" fontId="6" fillId="0" borderId="19" xfId="2" applyFont="1" applyBorder="1" applyAlignment="1" applyProtection="1">
      <alignment horizontal="center" vertical="center" wrapText="1"/>
      <protection hidden="1"/>
    </xf>
    <xf numFmtId="10" fontId="0" fillId="0" borderId="68" xfId="0" applyNumberForma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protection hidden="1"/>
    </xf>
    <xf numFmtId="44" fontId="0" fillId="0" borderId="68" xfId="0" applyNumberFormat="1" applyFill="1" applyBorder="1" applyAlignment="1" applyProtection="1">
      <alignment horizontal="center" vertical="center" wrapText="1"/>
      <protection hidden="1"/>
    </xf>
    <xf numFmtId="0" fontId="0" fillId="0" borderId="0" xfId="0" quotePrefix="1" applyProtection="1">
      <protection hidden="1"/>
    </xf>
    <xf numFmtId="0" fontId="0" fillId="0" borderId="0" xfId="0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/>
    <xf numFmtId="0" fontId="0" fillId="2" borderId="44" xfId="0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2" borderId="10" xfId="0" applyFill="1" applyBorder="1" applyAlignment="1" applyProtection="1">
      <alignment horizontal="left" vertical="center" indent="1"/>
      <protection hidden="1"/>
    </xf>
    <xf numFmtId="0" fontId="0" fillId="0" borderId="10" xfId="0" applyBorder="1" applyAlignment="1" applyProtection="1">
      <alignment horizontal="left" vertical="center" indent="1"/>
      <protection hidden="1"/>
    </xf>
    <xf numFmtId="0" fontId="21" fillId="0" borderId="70" xfId="0" applyFont="1" applyFill="1" applyBorder="1" applyAlignment="1" applyProtection="1">
      <alignment horizontal="center" vertical="center" textRotation="90" wrapText="1"/>
      <protection hidden="1"/>
    </xf>
    <xf numFmtId="0" fontId="21" fillId="0" borderId="71" xfId="0" applyFont="1" applyFill="1" applyBorder="1" applyAlignment="1" applyProtection="1">
      <alignment horizontal="center" vertical="center" textRotation="90" wrapText="1"/>
      <protection hidden="1"/>
    </xf>
    <xf numFmtId="0" fontId="21" fillId="0" borderId="72" xfId="0" applyFont="1" applyFill="1" applyBorder="1" applyAlignment="1" applyProtection="1">
      <alignment horizontal="center" vertical="center" textRotation="90" wrapText="1"/>
      <protection hidden="1"/>
    </xf>
    <xf numFmtId="0" fontId="21" fillId="0" borderId="73" xfId="0" applyFont="1" applyFill="1" applyBorder="1" applyAlignment="1" applyProtection="1">
      <alignment horizontal="center" vertical="center" textRotation="90" wrapText="1"/>
      <protection hidden="1"/>
    </xf>
    <xf numFmtId="0" fontId="21" fillId="0" borderId="55" xfId="0" applyFont="1" applyFill="1" applyBorder="1" applyAlignment="1" applyProtection="1">
      <alignment horizontal="center" vertical="center" textRotation="90" wrapText="1"/>
      <protection hidden="1"/>
    </xf>
    <xf numFmtId="0" fontId="21" fillId="0" borderId="74" xfId="0" applyFont="1" applyFill="1" applyBorder="1" applyAlignment="1" applyProtection="1">
      <alignment horizontal="center" vertical="center" textRotation="90" wrapText="1"/>
      <protection hidden="1"/>
    </xf>
    <xf numFmtId="0" fontId="0" fillId="0" borderId="18" xfId="0" applyBorder="1" applyAlignment="1" applyProtection="1">
      <alignment horizontal="left" vertical="center" wrapText="1" indent="1"/>
      <protection hidden="1"/>
    </xf>
    <xf numFmtId="0" fontId="0" fillId="0" borderId="10" xfId="0" applyBorder="1" applyAlignment="1" applyProtection="1">
      <alignment horizontal="left" vertical="center" wrapText="1" indent="1"/>
      <protection hidden="1"/>
    </xf>
    <xf numFmtId="0" fontId="0" fillId="0" borderId="10" xfId="0" applyBorder="1" applyAlignment="1" applyProtection="1">
      <alignment horizontal="left" vertical="center" indent="1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left" vertical="center" wrapText="1" indent="1"/>
      <protection hidden="1"/>
    </xf>
    <xf numFmtId="0" fontId="0" fillId="2" borderId="10" xfId="0" applyFill="1" applyBorder="1" applyAlignment="1" applyProtection="1">
      <alignment horizontal="left" vertical="center" wrapText="1" indent="1"/>
      <protection hidden="1"/>
    </xf>
    <xf numFmtId="0" fontId="13" fillId="2" borderId="10" xfId="2" applyNumberFormat="1" applyFont="1" applyFill="1" applyBorder="1" applyAlignment="1" applyProtection="1">
      <alignment horizontal="center" vertical="center"/>
      <protection hidden="1"/>
    </xf>
    <xf numFmtId="0" fontId="13" fillId="2" borderId="19" xfId="2" applyNumberFormat="1" applyFont="1" applyFill="1" applyBorder="1" applyAlignment="1" applyProtection="1">
      <alignment horizontal="center" vertical="center"/>
      <protection hidden="1"/>
    </xf>
    <xf numFmtId="0" fontId="5" fillId="2" borderId="75" xfId="0" applyFont="1" applyFill="1" applyBorder="1" applyAlignment="1" applyProtection="1">
      <alignment horizontal="right" vertical="center" indent="1"/>
      <protection hidden="1"/>
    </xf>
    <xf numFmtId="0" fontId="5" fillId="2" borderId="76" xfId="0" applyFont="1" applyFill="1" applyBorder="1" applyAlignment="1" applyProtection="1">
      <alignment horizontal="right" vertical="center" indent="1"/>
      <protection hidden="1"/>
    </xf>
    <xf numFmtId="0" fontId="5" fillId="2" borderId="43" xfId="0" applyFont="1" applyFill="1" applyBorder="1" applyAlignment="1" applyProtection="1">
      <alignment horizontal="right" vertical="center" indent="1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16" fillId="0" borderId="37" xfId="0" applyFont="1" applyFill="1" applyBorder="1" applyAlignment="1" applyProtection="1">
      <alignment horizontal="justify" vertical="top" wrapText="1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2" fontId="5" fillId="2" borderId="20" xfId="0" applyNumberFormat="1" applyFont="1" applyFill="1" applyBorder="1" applyAlignment="1" applyProtection="1">
      <alignment horizontal="center" vertical="center"/>
      <protection hidden="1"/>
    </xf>
    <xf numFmtId="2" fontId="5" fillId="2" borderId="21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left" vertical="top" wrapText="1"/>
      <protection hidden="1"/>
    </xf>
    <xf numFmtId="0" fontId="0" fillId="2" borderId="18" xfId="0" applyFill="1" applyBorder="1" applyAlignment="1" applyProtection="1">
      <alignment horizontal="left" vertical="center" indent="1"/>
      <protection hidden="1"/>
    </xf>
    <xf numFmtId="0" fontId="0" fillId="2" borderId="10" xfId="0" applyFill="1" applyBorder="1" applyAlignment="1" applyProtection="1">
      <alignment horizontal="left" vertical="center" indent="1"/>
      <protection hidden="1"/>
    </xf>
    <xf numFmtId="0" fontId="16" fillId="0" borderId="0" xfId="0" applyFont="1" applyFill="1" applyBorder="1" applyAlignment="1" applyProtection="1">
      <alignment horizontal="justify" vertical="top" wrapText="1"/>
      <protection hidden="1"/>
    </xf>
    <xf numFmtId="2" fontId="13" fillId="0" borderId="10" xfId="2" applyNumberFormat="1" applyFont="1" applyBorder="1" applyAlignment="1" applyProtection="1">
      <alignment horizontal="center" vertical="center" wrapText="1"/>
      <protection hidden="1"/>
    </xf>
    <xf numFmtId="2" fontId="13" fillId="0" borderId="19" xfId="2" applyNumberFormat="1" applyFont="1" applyBorder="1" applyAlignment="1" applyProtection="1">
      <alignment horizontal="center" vertical="center" wrapText="1"/>
      <protection hidden="1"/>
    </xf>
    <xf numFmtId="0" fontId="8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69" xfId="0" applyFont="1" applyFill="1" applyBorder="1" applyAlignment="1" applyProtection="1">
      <alignment horizontal="center" vertical="center" wrapText="1"/>
      <protection hidden="1"/>
    </xf>
    <xf numFmtId="0" fontId="8" fillId="3" borderId="42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13" fillId="2" borderId="10" xfId="0" applyFont="1" applyFill="1" applyBorder="1" applyAlignment="1" applyProtection="1">
      <alignment horizontal="center" vertical="center" wrapText="1"/>
      <protection hidden="1"/>
    </xf>
    <xf numFmtId="0" fontId="13" fillId="2" borderId="19" xfId="0" applyFont="1" applyFill="1" applyBorder="1" applyAlignment="1" applyProtection="1">
      <alignment horizontal="center" vertical="center" wrapText="1"/>
      <protection hidden="1"/>
    </xf>
    <xf numFmtId="0" fontId="5" fillId="2" borderId="76" xfId="0" applyFont="1" applyFill="1" applyBorder="1" applyAlignment="1" applyProtection="1">
      <alignment horizontal="center" vertical="center" wrapText="1"/>
      <protection hidden="1"/>
    </xf>
    <xf numFmtId="0" fontId="5" fillId="2" borderId="43" xfId="0" applyFont="1" applyFill="1" applyBorder="1" applyAlignment="1" applyProtection="1">
      <alignment horizontal="center" vertical="center" wrapText="1"/>
      <protection hidden="1"/>
    </xf>
    <xf numFmtId="0" fontId="25" fillId="2" borderId="75" xfId="0" applyFont="1" applyFill="1" applyBorder="1" applyAlignment="1" applyProtection="1">
      <alignment horizontal="center" vertical="center" wrapText="1"/>
      <protection hidden="1"/>
    </xf>
    <xf numFmtId="0" fontId="25" fillId="2" borderId="76" xfId="0" applyFont="1" applyFill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left" vertical="center" indent="1"/>
      <protection hidden="1"/>
    </xf>
    <xf numFmtId="0" fontId="8" fillId="2" borderId="5" xfId="0" applyFont="1" applyFill="1" applyBorder="1" applyAlignment="1" applyProtection="1">
      <alignment horizontal="left" vertical="center"/>
      <protection hidden="1"/>
    </xf>
    <xf numFmtId="0" fontId="0" fillId="13" borderId="7" xfId="0" applyFill="1" applyBorder="1" applyAlignment="1" applyProtection="1">
      <alignment horizontal="left" vertical="center"/>
      <protection locked="0"/>
    </xf>
    <xf numFmtId="0" fontId="0" fillId="13" borderId="8" xfId="0" applyFill="1" applyBorder="1" applyAlignment="1" applyProtection="1">
      <alignment horizontal="left" vertical="center"/>
      <protection locked="0"/>
    </xf>
    <xf numFmtId="0" fontId="0" fillId="13" borderId="9" xfId="0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locked="0" hidden="1"/>
    </xf>
    <xf numFmtId="0" fontId="0" fillId="0" borderId="9" xfId="0" applyBorder="1" applyAlignment="1" applyProtection="1">
      <alignment horizontal="left" vertical="center"/>
      <protection locked="0" hidden="1"/>
    </xf>
    <xf numFmtId="0" fontId="8" fillId="2" borderId="5" xfId="0" applyFont="1" applyFill="1" applyBorder="1" applyAlignment="1" applyProtection="1">
      <alignment horizontal="left"/>
      <protection hidden="1"/>
    </xf>
    <xf numFmtId="0" fontId="21" fillId="0" borderId="70" xfId="0" applyFont="1" applyFill="1" applyBorder="1" applyAlignment="1" applyProtection="1">
      <alignment horizontal="center" vertical="center" textRotation="90"/>
      <protection hidden="1"/>
    </xf>
    <xf numFmtId="0" fontId="21" fillId="0" borderId="71" xfId="0" applyFont="1" applyFill="1" applyBorder="1" applyAlignment="1" applyProtection="1">
      <alignment horizontal="center" vertical="center" textRotation="90"/>
      <protection hidden="1"/>
    </xf>
    <xf numFmtId="0" fontId="21" fillId="0" borderId="72" xfId="0" applyFont="1" applyFill="1" applyBorder="1" applyAlignment="1" applyProtection="1">
      <alignment horizontal="center" vertical="center" textRotation="90"/>
      <protection hidden="1"/>
    </xf>
    <xf numFmtId="0" fontId="21" fillId="0" borderId="73" xfId="0" applyFont="1" applyFill="1" applyBorder="1" applyAlignment="1" applyProtection="1">
      <alignment horizontal="center" vertical="center" textRotation="90"/>
      <protection hidden="1"/>
    </xf>
    <xf numFmtId="0" fontId="21" fillId="0" borderId="55" xfId="0" applyFont="1" applyFill="1" applyBorder="1" applyAlignment="1" applyProtection="1">
      <alignment horizontal="center" vertical="center" textRotation="90"/>
      <protection hidden="1"/>
    </xf>
    <xf numFmtId="0" fontId="21" fillId="0" borderId="74" xfId="0" applyFont="1" applyFill="1" applyBorder="1" applyAlignment="1" applyProtection="1">
      <alignment horizontal="center" vertical="center" textRotation="90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0" fontId="0" fillId="13" borderId="33" xfId="0" applyFill="1" applyBorder="1" applyAlignment="1" applyProtection="1">
      <alignment horizontal="left" vertical="center"/>
      <protection locked="0"/>
    </xf>
    <xf numFmtId="0" fontId="0" fillId="13" borderId="34" xfId="0" applyFill="1" applyBorder="1" applyAlignment="1" applyProtection="1">
      <alignment horizontal="left" vertical="center"/>
      <protection locked="0"/>
    </xf>
    <xf numFmtId="0" fontId="0" fillId="13" borderId="35" xfId="0" applyFill="1" applyBorder="1" applyAlignment="1" applyProtection="1">
      <alignment horizontal="left" vertical="center"/>
      <protection locked="0"/>
    </xf>
    <xf numFmtId="44" fontId="13" fillId="13" borderId="7" xfId="1" applyFont="1" applyFill="1" applyBorder="1" applyAlignment="1" applyProtection="1">
      <alignment horizontal="center"/>
      <protection locked="0"/>
    </xf>
    <xf numFmtId="44" fontId="13" fillId="13" borderId="8" xfId="1" applyFont="1" applyFill="1" applyBorder="1" applyAlignment="1" applyProtection="1">
      <alignment horizontal="center"/>
      <protection locked="0"/>
    </xf>
    <xf numFmtId="44" fontId="13" fillId="13" borderId="9" xfId="1" applyFont="1" applyFill="1" applyBorder="1" applyAlignment="1" applyProtection="1">
      <alignment horizontal="center"/>
      <protection locked="0"/>
    </xf>
    <xf numFmtId="44" fontId="6" fillId="13" borderId="7" xfId="1" applyFont="1" applyFill="1" applyBorder="1" applyAlignment="1" applyProtection="1">
      <alignment horizontal="left" vertical="center" indent="2"/>
      <protection locked="0"/>
    </xf>
    <xf numFmtId="44" fontId="6" fillId="13" borderId="8" xfId="1" applyFont="1" applyFill="1" applyBorder="1" applyAlignment="1" applyProtection="1">
      <alignment horizontal="left" vertical="center" indent="2"/>
      <protection locked="0"/>
    </xf>
    <xf numFmtId="44" fontId="6" fillId="13" borderId="9" xfId="1" applyFont="1" applyFill="1" applyBorder="1" applyAlignment="1" applyProtection="1">
      <alignment horizontal="left" vertical="center" indent="2"/>
      <protection locked="0"/>
    </xf>
    <xf numFmtId="44" fontId="0" fillId="13" borderId="33" xfId="1" applyFont="1" applyFill="1" applyBorder="1" applyAlignment="1" applyProtection="1">
      <alignment horizontal="center" vertical="center"/>
      <protection locked="0"/>
    </xf>
    <xf numFmtId="44" fontId="0" fillId="13" borderId="35" xfId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wrapText="1"/>
      <protection hidden="1"/>
    </xf>
    <xf numFmtId="0" fontId="20" fillId="2" borderId="36" xfId="0" applyFont="1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20" fillId="2" borderId="38" xfId="0" applyFont="1" applyFill="1" applyBorder="1" applyAlignment="1" applyProtection="1">
      <alignment horizontal="center" vertical="center"/>
      <protection hidden="1"/>
    </xf>
    <xf numFmtId="44" fontId="0" fillId="13" borderId="7" xfId="1" applyFont="1" applyFill="1" applyBorder="1" applyAlignment="1" applyProtection="1">
      <alignment horizontal="left" vertical="center"/>
      <protection locked="0"/>
    </xf>
    <xf numFmtId="44" fontId="0" fillId="13" borderId="8" xfId="1" applyFont="1" applyFill="1" applyBorder="1" applyAlignment="1" applyProtection="1">
      <alignment horizontal="left" vertical="center"/>
      <protection locked="0"/>
    </xf>
    <xf numFmtId="0" fontId="6" fillId="0" borderId="33" xfId="1" applyNumberFormat="1" applyFont="1" applyFill="1" applyBorder="1" applyAlignment="1" applyProtection="1">
      <alignment horizontal="left" vertical="center"/>
      <protection hidden="1"/>
    </xf>
    <xf numFmtId="0" fontId="6" fillId="0" borderId="35" xfId="1" applyNumberFormat="1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24" fillId="2" borderId="0" xfId="5" applyFill="1" applyBorder="1" applyAlignment="1" applyProtection="1">
      <alignment horizontal="left"/>
      <protection hidden="1"/>
    </xf>
    <xf numFmtId="168" fontId="0" fillId="13" borderId="7" xfId="4" applyNumberFormat="1" applyFont="1" applyFill="1" applyBorder="1" applyAlignment="1" applyProtection="1">
      <alignment horizontal="center" vertical="center"/>
      <protection locked="0"/>
    </xf>
    <xf numFmtId="168" fontId="0" fillId="13" borderId="9" xfId="4" applyNumberFormat="1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 textRotation="90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10" fontId="0" fillId="0" borderId="36" xfId="0" applyNumberFormat="1" applyFill="1" applyBorder="1" applyAlignment="1" applyProtection="1">
      <alignment horizontal="center" vertical="center" wrapText="1"/>
      <protection hidden="1"/>
    </xf>
    <xf numFmtId="10" fontId="0" fillId="0" borderId="38" xfId="0" applyNumberFormat="1" applyFill="1" applyBorder="1" applyAlignment="1" applyProtection="1">
      <alignment horizontal="center" vertical="center" wrapText="1"/>
      <protection hidden="1"/>
    </xf>
    <xf numFmtId="10" fontId="0" fillId="0" borderId="4" xfId="0" applyNumberFormat="1" applyFill="1" applyBorder="1" applyAlignment="1" applyProtection="1">
      <alignment horizontal="center" vertical="center" wrapText="1"/>
      <protection hidden="1"/>
    </xf>
    <xf numFmtId="10" fontId="0" fillId="0" borderId="6" xfId="0" applyNumberForma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justify" vertical="center" wrapText="1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44" fontId="0" fillId="0" borderId="7" xfId="0" applyNumberFormat="1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horizontal="center" vertical="center" wrapText="1"/>
      <protection hidden="1"/>
    </xf>
    <xf numFmtId="10" fontId="0" fillId="0" borderId="7" xfId="0" applyNumberFormat="1" applyFill="1" applyBorder="1" applyAlignment="1" applyProtection="1">
      <alignment horizontal="center" vertical="center"/>
      <protection hidden="1"/>
    </xf>
    <xf numFmtId="10" fontId="0" fillId="0" borderId="8" xfId="0" applyNumberFormat="1" applyFill="1" applyBorder="1" applyAlignment="1" applyProtection="1">
      <alignment horizontal="center" vertical="center"/>
      <protection hidden="1"/>
    </xf>
    <xf numFmtId="0" fontId="0" fillId="0" borderId="37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10" fontId="0" fillId="0" borderId="56" xfId="0" applyNumberFormat="1" applyFill="1" applyBorder="1" applyAlignment="1" applyProtection="1">
      <alignment horizontal="center" vertical="center" wrapText="1"/>
      <protection hidden="1"/>
    </xf>
    <xf numFmtId="10" fontId="0" fillId="0" borderId="82" xfId="0" applyNumberFormat="1" applyFill="1" applyBorder="1" applyAlignment="1" applyProtection="1">
      <alignment horizontal="center" vertical="center" wrapText="1"/>
      <protection hidden="1"/>
    </xf>
    <xf numFmtId="0" fontId="16" fillId="0" borderId="37" xfId="0" applyFont="1" applyFill="1" applyBorder="1" applyAlignment="1" applyProtection="1">
      <alignment horizontal="left" vertical="top" wrapText="1"/>
      <protection hidden="1"/>
    </xf>
    <xf numFmtId="0" fontId="16" fillId="0" borderId="0" xfId="0" applyFont="1" applyFill="1" applyAlignment="1" applyProtection="1">
      <alignment horizontal="left" vertical="top" wrapText="1"/>
      <protection hidden="1"/>
    </xf>
    <xf numFmtId="0" fontId="17" fillId="0" borderId="37" xfId="0" applyFont="1" applyFill="1" applyBorder="1" applyAlignment="1" applyProtection="1">
      <alignment horizontal="justify" vertical="top"/>
      <protection hidden="1"/>
    </xf>
    <xf numFmtId="0" fontId="6" fillId="0" borderId="75" xfId="0" applyFont="1" applyBorder="1" applyAlignment="1" applyProtection="1">
      <alignment horizontal="left" vertical="center" wrapText="1" indent="1"/>
      <protection hidden="1"/>
    </xf>
    <xf numFmtId="0" fontId="6" fillId="0" borderId="76" xfId="0" applyFont="1" applyBorder="1" applyAlignment="1" applyProtection="1">
      <alignment horizontal="left" vertical="center" wrapText="1" indent="1"/>
      <protection hidden="1"/>
    </xf>
    <xf numFmtId="0" fontId="6" fillId="0" borderId="43" xfId="0" applyFont="1" applyBorder="1" applyAlignment="1" applyProtection="1">
      <alignment horizontal="left" vertical="center" wrapText="1" indent="1"/>
      <protection hidden="1"/>
    </xf>
    <xf numFmtId="0" fontId="6" fillId="0" borderId="77" xfId="0" applyFont="1" applyBorder="1" applyAlignment="1" applyProtection="1">
      <alignment horizontal="left" vertical="center" wrapText="1" indent="1"/>
      <protection hidden="1"/>
    </xf>
    <xf numFmtId="0" fontId="6" fillId="0" borderId="78" xfId="0" applyFont="1" applyBorder="1" applyAlignment="1" applyProtection="1">
      <alignment horizontal="left" vertical="center" wrapText="1" indent="1"/>
      <protection hidden="1"/>
    </xf>
    <xf numFmtId="0" fontId="6" fillId="0" borderId="79" xfId="0" applyFont="1" applyBorder="1" applyAlignment="1" applyProtection="1">
      <alignment horizontal="left" vertical="center" wrapText="1" indent="1"/>
      <protection hidden="1"/>
    </xf>
    <xf numFmtId="0" fontId="8" fillId="3" borderId="80" xfId="0" applyFont="1" applyFill="1" applyBorder="1" applyAlignment="1" applyProtection="1">
      <alignment horizontal="center" vertical="center" wrapText="1"/>
      <protection hidden="1"/>
    </xf>
    <xf numFmtId="0" fontId="8" fillId="3" borderId="81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left" vertical="center" wrapText="1"/>
      <protection hidden="1"/>
    </xf>
    <xf numFmtId="3" fontId="6" fillId="0" borderId="10" xfId="0" applyNumberFormat="1" applyFont="1" applyBorder="1" applyAlignment="1" applyProtection="1">
      <alignment horizontal="center" vertical="center" wrapText="1"/>
      <protection hidden="1"/>
    </xf>
    <xf numFmtId="3" fontId="6" fillId="0" borderId="19" xfId="0" applyNumberFormat="1" applyFont="1" applyBorder="1" applyAlignment="1" applyProtection="1">
      <alignment horizontal="center" vertical="center" wrapText="1"/>
      <protection hidden="1"/>
    </xf>
    <xf numFmtId="10" fontId="6" fillId="0" borderId="10" xfId="0" applyNumberFormat="1" applyFont="1" applyBorder="1" applyAlignment="1" applyProtection="1">
      <alignment horizontal="center" vertical="center" wrapText="1"/>
      <protection hidden="1"/>
    </xf>
    <xf numFmtId="10" fontId="6" fillId="0" borderId="19" xfId="0" applyNumberFormat="1" applyFont="1" applyBorder="1" applyAlignment="1" applyProtection="1">
      <alignment horizontal="center" vertical="center" wrapText="1"/>
      <protection hidden="1"/>
    </xf>
    <xf numFmtId="10" fontId="6" fillId="0" borderId="20" xfId="2" applyNumberFormat="1" applyFont="1" applyBorder="1" applyAlignment="1" applyProtection="1">
      <alignment horizontal="center" vertical="center" wrapText="1"/>
      <protection hidden="1"/>
    </xf>
    <xf numFmtId="10" fontId="6" fillId="0" borderId="21" xfId="2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justify" vertical="top" wrapText="1"/>
      <protection hidden="1"/>
    </xf>
    <xf numFmtId="44" fontId="13" fillId="0" borderId="7" xfId="1" applyFont="1" applyFill="1" applyBorder="1" applyAlignment="1" applyProtection="1">
      <alignment horizontal="center"/>
      <protection hidden="1"/>
    </xf>
    <xf numFmtId="44" fontId="13" fillId="0" borderId="9" xfId="1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8" xfId="0" applyFont="1" applyFill="1" applyBorder="1" applyAlignment="1" applyProtection="1">
      <alignment horizontal="left" vertical="center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8" fillId="2" borderId="10" xfId="0" applyFont="1" applyFill="1" applyBorder="1" applyAlignment="1" applyProtection="1">
      <alignment horizontal="left" vertical="center" indent="1"/>
      <protection hidden="1"/>
    </xf>
    <xf numFmtId="0" fontId="13" fillId="2" borderId="10" xfId="0" applyFont="1" applyFill="1" applyBorder="1" applyAlignment="1" applyProtection="1">
      <alignment horizontal="center" vertical="center"/>
      <protection hidden="1"/>
    </xf>
    <xf numFmtId="0" fontId="13" fillId="2" borderId="19" xfId="0" applyFont="1" applyFill="1" applyBorder="1" applyAlignment="1" applyProtection="1">
      <alignment horizontal="center" vertical="center"/>
      <protection hidden="1"/>
    </xf>
    <xf numFmtId="0" fontId="14" fillId="10" borderId="31" xfId="0" applyFont="1" applyFill="1" applyBorder="1" applyAlignment="1" applyProtection="1">
      <alignment horizontal="center" vertical="center" wrapText="1"/>
      <protection hidden="1"/>
    </xf>
    <xf numFmtId="0" fontId="14" fillId="10" borderId="25" xfId="0" applyFont="1" applyFill="1" applyBorder="1" applyAlignment="1" applyProtection="1">
      <alignment horizontal="center" vertical="center" wrapText="1"/>
      <protection hidden="1"/>
    </xf>
    <xf numFmtId="0" fontId="14" fillId="10" borderId="39" xfId="0" applyFont="1" applyFill="1" applyBorder="1" applyAlignment="1" applyProtection="1">
      <alignment horizontal="center" vertical="center" wrapText="1"/>
      <protection hidden="1"/>
    </xf>
    <xf numFmtId="0" fontId="14" fillId="10" borderId="28" xfId="0" applyFont="1" applyFill="1" applyBorder="1" applyAlignment="1" applyProtection="1">
      <alignment horizontal="center" vertical="center" wrapText="1"/>
      <protection hidden="1"/>
    </xf>
    <xf numFmtId="0" fontId="0" fillId="8" borderId="15" xfId="0" applyFill="1" applyBorder="1" applyAlignment="1" applyProtection="1">
      <alignment horizontal="center" vertical="center" wrapText="1"/>
      <protection hidden="1"/>
    </xf>
    <xf numFmtId="0" fontId="0" fillId="8" borderId="18" xfId="0" applyFill="1" applyBorder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0" fontId="0" fillId="8" borderId="16" xfId="0" applyFill="1" applyBorder="1" applyAlignment="1" applyProtection="1">
      <alignment horizontal="center" vertical="center" wrapText="1"/>
      <protection hidden="1"/>
    </xf>
    <xf numFmtId="0" fontId="0" fillId="8" borderId="10" xfId="0" applyFill="1" applyBorder="1" applyAlignment="1" applyProtection="1">
      <alignment horizontal="center" vertical="center" wrapText="1"/>
      <protection hidden="1"/>
    </xf>
    <xf numFmtId="0" fontId="0" fillId="8" borderId="20" xfId="0" applyFill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2" borderId="42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2" borderId="44" xfId="0" applyFill="1" applyBorder="1" applyAlignment="1" applyProtection="1">
      <alignment horizontal="center" vertical="center"/>
      <protection hidden="1"/>
    </xf>
    <xf numFmtId="0" fontId="0" fillId="2" borderId="45" xfId="0" applyFill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44" fontId="9" fillId="0" borderId="7" xfId="1" applyFont="1" applyFill="1" applyBorder="1" applyAlignment="1" applyProtection="1">
      <alignment horizontal="center" vertical="center"/>
      <protection locked="0"/>
    </xf>
    <xf numFmtId="44" fontId="9" fillId="0" borderId="9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2" borderId="36" xfId="0" applyFill="1" applyBorder="1" applyAlignment="1">
      <alignment horizontal="center" vertical="center" wrapText="1"/>
    </xf>
    <xf numFmtId="0" fontId="0" fillId="2" borderId="63" xfId="0" applyFill="1" applyBorder="1" applyAlignment="1">
      <alignment horizontal="center" vertical="center" wrapText="1"/>
    </xf>
    <xf numFmtId="0" fontId="1" fillId="2" borderId="58" xfId="2" applyNumberFormat="1" applyFill="1" applyBorder="1" applyAlignment="1">
      <alignment horizontal="center" vertical="center" wrapText="1"/>
    </xf>
    <xf numFmtId="0" fontId="1" fillId="2" borderId="1" xfId="2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 wrapText="1"/>
    </xf>
    <xf numFmtId="0" fontId="0" fillId="2" borderId="60" xfId="0" applyFill="1" applyBorder="1" applyAlignment="1">
      <alignment horizontal="center" vertical="center" wrapText="1"/>
    </xf>
    <xf numFmtId="0" fontId="0" fillId="2" borderId="61" xfId="0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0" fillId="2" borderId="79" xfId="0" applyFill="1" applyBorder="1" applyAlignment="1" applyProtection="1">
      <alignment horizontal="left" vertical="center" indent="1"/>
      <protection hidden="1"/>
    </xf>
    <xf numFmtId="0" fontId="0" fillId="2" borderId="83" xfId="0" applyFill="1" applyBorder="1" applyAlignment="1" applyProtection="1">
      <alignment horizontal="left" vertical="center" wrapText="1" indent="1"/>
      <protection hidden="1"/>
    </xf>
    <xf numFmtId="0" fontId="0" fillId="2" borderId="84" xfId="0" applyFill="1" applyBorder="1" applyAlignment="1" applyProtection="1">
      <alignment horizontal="left" vertical="center" wrapText="1" indent="1"/>
      <protection hidden="1"/>
    </xf>
    <xf numFmtId="0" fontId="0" fillId="2" borderId="71" xfId="0" applyFill="1" applyBorder="1" applyAlignment="1" applyProtection="1">
      <alignment horizontal="left" vertical="center" wrapText="1" indent="1"/>
      <protection hidden="1"/>
    </xf>
    <xf numFmtId="0" fontId="0" fillId="0" borderId="41" xfId="0" applyBorder="1" applyAlignment="1" applyProtection="1">
      <alignment horizontal="left" vertical="center" indent="1"/>
      <protection hidden="1"/>
    </xf>
    <xf numFmtId="0" fontId="0" fillId="0" borderId="40" xfId="0" applyBorder="1" applyAlignment="1" applyProtection="1">
      <alignment horizontal="left" vertical="center" indent="1"/>
      <protection hidden="1"/>
    </xf>
    <xf numFmtId="0" fontId="0" fillId="2" borderId="85" xfId="0" applyFill="1" applyBorder="1" applyAlignment="1" applyProtection="1">
      <alignment horizontal="left" vertical="center" wrapText="1" indent="1"/>
      <protection hidden="1"/>
    </xf>
    <xf numFmtId="0" fontId="0" fillId="2" borderId="74" xfId="0" applyFill="1" applyBorder="1" applyAlignment="1" applyProtection="1">
      <alignment horizontal="left" vertical="center" wrapText="1" indent="1"/>
      <protection hidden="1"/>
    </xf>
    <xf numFmtId="0" fontId="0" fillId="2" borderId="86" xfId="0" applyFill="1" applyBorder="1" applyAlignment="1" applyProtection="1">
      <alignment horizontal="left" vertical="center" wrapText="1" indent="1"/>
      <protection hidden="1"/>
    </xf>
  </cellXfs>
  <cellStyles count="6">
    <cellStyle name="Hiperlink" xfId="5" builtinId="8"/>
    <cellStyle name="Moeda" xfId="1" builtinId="4"/>
    <cellStyle name="Normal" xfId="0" builtinId="0"/>
    <cellStyle name="Normal 2" xfId="3"/>
    <cellStyle name="Porcentagem" xfId="2" builtinId="5"/>
    <cellStyle name="Vírgula" xfId="4" builtinId="3"/>
  </cellStyles>
  <dxfs count="55"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b/>
        <i val="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32424</xdr:colOff>
      <xdr:row>58</xdr:row>
      <xdr:rowOff>157584</xdr:rowOff>
    </xdr:from>
    <xdr:to>
      <xdr:col>14</xdr:col>
      <xdr:colOff>32424</xdr:colOff>
      <xdr:row>61</xdr:row>
      <xdr:rowOff>48073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2104" y="10330284"/>
          <a:ext cx="0" cy="507709"/>
        </a:xfrm>
        <a:prstGeom prst="rect">
          <a:avLst/>
        </a:prstGeom>
      </xdr:spPr>
    </xdr:pic>
    <xdr:clientData/>
  </xdr:twoCellAnchor>
  <xdr:twoCellAnchor editAs="oneCell">
    <xdr:from>
      <xdr:col>6</xdr:col>
      <xdr:colOff>28576</xdr:colOff>
      <xdr:row>58</xdr:row>
      <xdr:rowOff>9525</xdr:rowOff>
    </xdr:from>
    <xdr:to>
      <xdr:col>6</xdr:col>
      <xdr:colOff>28576</xdr:colOff>
      <xdr:row>62</xdr:row>
      <xdr:rowOff>76648</xdr:rowOff>
    </xdr:to>
    <xdr:pic>
      <xdr:nvPicPr>
        <xdr:cNvPr id="3" name="Imagem 2" descr="https://estado.rs.gov.br/upload/recortes/201904/09185237_1639519_GD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1356" y="10182225"/>
          <a:ext cx="0" cy="8900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647701</xdr:colOff>
      <xdr:row>58</xdr:row>
      <xdr:rowOff>57150</xdr:rowOff>
    </xdr:from>
    <xdr:to>
      <xdr:col>16</xdr:col>
      <xdr:colOff>164583</xdr:colOff>
      <xdr:row>61</xdr:row>
      <xdr:rowOff>89422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>
                      <a14:foregroundMark x1="16037" y1="24627" x2="16037" y2="24627"/>
                      <a14:foregroundMark x1="13641" y1="25622" x2="13641" y2="25622"/>
                      <a14:foregroundMark x1="14194" y1="41542" x2="14194" y2="41542"/>
                      <a14:foregroundMark x1="19724" y1="45025" x2="19724" y2="45025"/>
                      <a14:foregroundMark x1="22028" y1="28856" x2="22028" y2="28856"/>
                      <a14:foregroundMark x1="19171" y1="27114" x2="19171" y2="27114"/>
                      <a14:foregroundMark x1="27281" y1="45522" x2="27281" y2="45522"/>
                      <a14:foregroundMark x1="69401" y1="44527" x2="69862" y2="44527"/>
                      <a14:foregroundMark x1="74194" y1="38308" x2="74194" y2="38308"/>
                      <a14:foregroundMark x1="73272" y1="36070" x2="73272" y2="36070"/>
                      <a14:foregroundMark x1="82028" y1="37313" x2="82028" y2="37313"/>
                      <a14:backgroundMark x1="27281" y1="10945" x2="27558" y2="34080"/>
                      <a14:backgroundMark x1="27742" y1="23881" x2="30783" y2="31841"/>
                      <a14:backgroundMark x1="31429" y1="35323" x2="38710" y2="36070"/>
                      <a14:backgroundMark x1="49770" y1="35075" x2="64055" y2="34328"/>
                      <a14:backgroundMark x1="40092" y1="83582" x2="62765" y2="67413"/>
                      <a14:backgroundMark x1="28295" y1="58706" x2="36682" y2="75622"/>
                      <a14:backgroundMark x1="59631" y1="49751" x2="59631" y2="49751"/>
                      <a14:backgroundMark x1="37235" y1="49751" x2="37235" y2="49751"/>
                      <a14:backgroundMark x1="75668" y1="37562" x2="75668" y2="37562"/>
                      <a14:backgroundMark x1="43594" y1="47015" x2="43594" y2="47015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382001" y="10401300"/>
          <a:ext cx="1783832" cy="6609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eturpaefs01\dados\Users\vinicius-donato\Desktop\_Modelo%20Simula&#231;&#227;o%20FUNDOPEM%20(tes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ÇÃO DE PONTUAÇÃO "/>
      <sheetName val="MALA DIRETA"/>
      <sheetName val="Setores Estratégicos"/>
      <sheetName val="CNAEs"/>
      <sheetName val="Classificação projeto"/>
      <sheetName val="Intensidade Tecnológica"/>
      <sheetName val="Cond. Financ."/>
      <sheetName val="Geração de Emprego"/>
      <sheetName val="Índice Integrar"/>
      <sheetName val="Massa Salarial"/>
      <sheetName val="_Modelo Simulação FUNDOPEM (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 t="str">
            <v>Grande Empresa</v>
          </cell>
        </row>
      </sheetData>
      <sheetData sheetId="8">
        <row r="3">
          <cell r="A3" t="str">
            <v>Aceguá</v>
          </cell>
          <cell r="B3">
            <v>0.79325499122607479</v>
          </cell>
          <cell r="C3" t="str">
            <v>CAMPANHA</v>
          </cell>
          <cell r="D3">
            <v>0.65815289147615053</v>
          </cell>
          <cell r="E3">
            <v>0.50060000000000004</v>
          </cell>
          <cell r="F3">
            <v>0</v>
          </cell>
        </row>
        <row r="4">
          <cell r="A4" t="str">
            <v>Água Santa</v>
          </cell>
          <cell r="B4">
            <v>0.88914642029407887</v>
          </cell>
          <cell r="C4" t="str">
            <v>NORDESTE</v>
          </cell>
          <cell r="D4">
            <v>0.73065139408555813</v>
          </cell>
          <cell r="E4">
            <v>0.2737</v>
          </cell>
          <cell r="F4">
            <v>0</v>
          </cell>
        </row>
        <row r="5">
          <cell r="A5" t="str">
            <v>Agudo</v>
          </cell>
          <cell r="B5">
            <v>0.67168322976431005</v>
          </cell>
          <cell r="C5" t="str">
            <v>CENTRAL</v>
          </cell>
          <cell r="D5">
            <v>0.70246145903597013</v>
          </cell>
          <cell r="E5">
            <v>0.52959999999999996</v>
          </cell>
          <cell r="F5">
            <v>0</v>
          </cell>
        </row>
        <row r="6">
          <cell r="A6" t="str">
            <v>Ajuricaba</v>
          </cell>
          <cell r="B6">
            <v>0.74124182265626692</v>
          </cell>
          <cell r="C6" t="str">
            <v>NOROESTE COLONIAL</v>
          </cell>
          <cell r="D6">
            <v>0.78210389473788644</v>
          </cell>
          <cell r="E6">
            <v>0.46260000000000001</v>
          </cell>
          <cell r="F6">
            <v>0</v>
          </cell>
        </row>
        <row r="7">
          <cell r="A7" t="str">
            <v>Alecrim</v>
          </cell>
          <cell r="B7">
            <v>0.57486761303005318</v>
          </cell>
          <cell r="C7" t="str">
            <v>FRONTEIRA NOROESTE</v>
          </cell>
          <cell r="D7">
            <v>0.76178573110532932</v>
          </cell>
          <cell r="E7">
            <v>0.70879999999999999</v>
          </cell>
          <cell r="F7">
            <v>0</v>
          </cell>
        </row>
        <row r="8">
          <cell r="A8" t="str">
            <v>Alegrete</v>
          </cell>
          <cell r="B8">
            <v>0.68225834135372954</v>
          </cell>
          <cell r="C8" t="str">
            <v>FRONTEIRA OESTE</v>
          </cell>
          <cell r="D8">
            <v>0.65191476396461001</v>
          </cell>
          <cell r="E8">
            <v>0.66959999999999997</v>
          </cell>
          <cell r="F8">
            <v>0</v>
          </cell>
        </row>
        <row r="9">
          <cell r="A9" t="str">
            <v>Alegria</v>
          </cell>
          <cell r="B9">
            <v>0.6585349787735727</v>
          </cell>
          <cell r="C9" t="str">
            <v>FRONTEIRA NOROESTE</v>
          </cell>
          <cell r="D9">
            <v>0.76178573110532932</v>
          </cell>
          <cell r="E9">
            <v>0.58550000000000002</v>
          </cell>
          <cell r="F9">
            <v>4</v>
          </cell>
        </row>
        <row r="10">
          <cell r="A10" t="str">
            <v>Almirante Tamandaré do Sul</v>
          </cell>
          <cell r="B10">
            <v>0.85223284438727709</v>
          </cell>
          <cell r="C10" t="str">
            <v>PRODUÇÃO</v>
          </cell>
          <cell r="D10">
            <v>0.77643264233807863</v>
          </cell>
          <cell r="E10">
            <v>0.32040000000000002</v>
          </cell>
          <cell r="F10">
            <v>0</v>
          </cell>
        </row>
        <row r="11">
          <cell r="A11" t="str">
            <v>Alpestre</v>
          </cell>
          <cell r="B11">
            <v>0.70331529812017257</v>
          </cell>
          <cell r="C11" t="str">
            <v>MÉDIO ALTO URUGUAI</v>
          </cell>
          <cell r="D11">
            <v>0.67928410137535544</v>
          </cell>
          <cell r="E11">
            <v>0.47910000000000003</v>
          </cell>
          <cell r="F11">
            <v>1</v>
          </cell>
        </row>
        <row r="12">
          <cell r="A12" t="str">
            <v>Alto Alegre</v>
          </cell>
          <cell r="B12">
            <v>0.74842449730894522</v>
          </cell>
          <cell r="C12" t="str">
            <v>ALTO DA SERRA DO BOTUCARAÍ</v>
          </cell>
          <cell r="D12">
            <v>0.67356568186234722</v>
          </cell>
          <cell r="E12">
            <v>0.4738</v>
          </cell>
          <cell r="F12">
            <v>0</v>
          </cell>
        </row>
        <row r="13">
          <cell r="A13" t="str">
            <v>Alto Feliz</v>
          </cell>
          <cell r="B13">
            <v>0.6864748635223088</v>
          </cell>
          <cell r="C13" t="str">
            <v>VALE DO CAÍ</v>
          </cell>
          <cell r="D13">
            <v>0.7467472529579271</v>
          </cell>
          <cell r="E13">
            <v>0.40079999999999999</v>
          </cell>
          <cell r="F13">
            <v>0</v>
          </cell>
        </row>
        <row r="14">
          <cell r="A14" t="str">
            <v>Alvorada</v>
          </cell>
          <cell r="B14">
            <v>0.47727898328298074</v>
          </cell>
          <cell r="C14" t="str">
            <v>METROPOLITANO DO DELTA DO JACUÍ</v>
          </cell>
          <cell r="D14">
            <v>0.77260399691033332</v>
          </cell>
          <cell r="E14">
            <v>0.61350000000000005</v>
          </cell>
          <cell r="F14">
            <v>4</v>
          </cell>
        </row>
        <row r="15">
          <cell r="A15" t="str">
            <v>Amaral Ferrador</v>
          </cell>
          <cell r="B15">
            <v>0.53380550810474592</v>
          </cell>
          <cell r="C15" t="str">
            <v>SUL</v>
          </cell>
          <cell r="D15">
            <v>0.65661703497098345</v>
          </cell>
          <cell r="E15">
            <v>0.6885</v>
          </cell>
          <cell r="F15">
            <v>3</v>
          </cell>
        </row>
        <row r="16">
          <cell r="A16" t="str">
            <v>Ametista do Sul</v>
          </cell>
          <cell r="B16">
            <v>0.53631377656785051</v>
          </cell>
          <cell r="C16" t="str">
            <v>MÉDIO ALTO URUGUAI</v>
          </cell>
          <cell r="D16">
            <v>0.67928410137535544</v>
          </cell>
          <cell r="E16">
            <v>0.72719999999999996</v>
          </cell>
          <cell r="F16" t="str">
            <v>7; 10; 11</v>
          </cell>
        </row>
        <row r="17">
          <cell r="A17" t="str">
            <v>André da Rocha</v>
          </cell>
          <cell r="B17">
            <v>0.90743697948235624</v>
          </cell>
          <cell r="C17" t="str">
            <v>CAMPOS DE CIMA DA SERRA</v>
          </cell>
          <cell r="D17">
            <v>0.72496322746909969</v>
          </cell>
          <cell r="E17">
            <v>0.2286</v>
          </cell>
          <cell r="F17">
            <v>0</v>
          </cell>
        </row>
        <row r="18">
          <cell r="A18" t="str">
            <v>Anta Gorda</v>
          </cell>
          <cell r="B18">
            <v>0.72570936837558919</v>
          </cell>
          <cell r="C18" t="str">
            <v>VALE DO TAQUARI</v>
          </cell>
          <cell r="D18">
            <v>0.75064951742439223</v>
          </cell>
          <cell r="E18">
            <v>0.40600000000000003</v>
          </cell>
          <cell r="F18">
            <v>0</v>
          </cell>
        </row>
        <row r="19">
          <cell r="A19" t="str">
            <v>Antônio Prado</v>
          </cell>
          <cell r="B19">
            <v>0.76424318217328613</v>
          </cell>
          <cell r="C19" t="str">
            <v>SERRA</v>
          </cell>
          <cell r="D19">
            <v>0.81824158171645489</v>
          </cell>
          <cell r="E19">
            <v>0.27810000000000001</v>
          </cell>
          <cell r="F19">
            <v>5</v>
          </cell>
        </row>
        <row r="20">
          <cell r="A20" t="str">
            <v>Arambaré</v>
          </cell>
          <cell r="B20">
            <v>0.71276734860521129</v>
          </cell>
          <cell r="C20" t="str">
            <v>CENTRO SUL</v>
          </cell>
          <cell r="D20">
            <v>0.63962091655125897</v>
          </cell>
          <cell r="E20">
            <v>0.48909999999999998</v>
          </cell>
          <cell r="F20">
            <v>0</v>
          </cell>
        </row>
        <row r="21">
          <cell r="A21" t="str">
            <v>Araricá</v>
          </cell>
          <cell r="B21">
            <v>0.67565531914487487</v>
          </cell>
          <cell r="C21" t="str">
            <v>VALE DO RIO DOS SINOS</v>
          </cell>
          <cell r="D21">
            <v>0.72562565243362109</v>
          </cell>
          <cell r="E21">
            <v>0.42509999999999998</v>
          </cell>
          <cell r="F21">
            <v>0</v>
          </cell>
        </row>
        <row r="22">
          <cell r="A22" t="str">
            <v>Aratiba</v>
          </cell>
          <cell r="B22">
            <v>0.93518850958708855</v>
          </cell>
          <cell r="C22" t="str">
            <v>NORTE</v>
          </cell>
          <cell r="D22">
            <v>0.7765417184743687</v>
          </cell>
          <cell r="E22">
            <v>0.1492</v>
          </cell>
          <cell r="F22">
            <v>9</v>
          </cell>
        </row>
        <row r="23">
          <cell r="A23" t="str">
            <v>Arroio do Meio</v>
          </cell>
          <cell r="B23">
            <v>0.82163309847098243</v>
          </cell>
          <cell r="C23" t="str">
            <v>VALE DO TAQUARI</v>
          </cell>
          <cell r="D23">
            <v>0.75064951742439223</v>
          </cell>
          <cell r="E23">
            <v>0.25559999999999999</v>
          </cell>
          <cell r="F23">
            <v>0</v>
          </cell>
        </row>
        <row r="24">
          <cell r="A24" t="str">
            <v>Arroio do Padre</v>
          </cell>
          <cell r="B24">
            <v>0.5890196420907986</v>
          </cell>
          <cell r="C24" t="str">
            <v>SUL</v>
          </cell>
          <cell r="D24">
            <v>0.65661703497098345</v>
          </cell>
          <cell r="E24">
            <v>0.65769999999999995</v>
          </cell>
          <cell r="F24">
            <v>0</v>
          </cell>
        </row>
        <row r="25">
          <cell r="A25" t="str">
            <v>Arroio do Sal</v>
          </cell>
          <cell r="B25">
            <v>0.63663230338623589</v>
          </cell>
          <cell r="C25" t="str">
            <v>LITORAL</v>
          </cell>
          <cell r="D25">
            <v>0.65197632440885878</v>
          </cell>
          <cell r="E25">
            <v>0.57350000000000001</v>
          </cell>
          <cell r="F25">
            <v>0</v>
          </cell>
        </row>
        <row r="26">
          <cell r="A26" t="str">
            <v>Arroio do Tigre</v>
          </cell>
          <cell r="B26">
            <v>0.67910376453147925</v>
          </cell>
          <cell r="C26" t="str">
            <v>VALE DO RIO PARDO</v>
          </cell>
          <cell r="D26">
            <v>0.74524357951881126</v>
          </cell>
          <cell r="E26">
            <v>0.5071</v>
          </cell>
          <cell r="F26">
            <v>0</v>
          </cell>
        </row>
        <row r="27">
          <cell r="A27" t="str">
            <v>Arroio dos Ratos</v>
          </cell>
          <cell r="B27">
            <v>0.56987593691293426</v>
          </cell>
          <cell r="C27" t="str">
            <v>CENTRO SUL</v>
          </cell>
          <cell r="D27">
            <v>0.63962091655125897</v>
          </cell>
          <cell r="E27">
            <v>0.60950000000000004</v>
          </cell>
          <cell r="F27">
            <v>0</v>
          </cell>
        </row>
        <row r="28">
          <cell r="A28" t="str">
            <v>Arroio Grande</v>
          </cell>
          <cell r="B28">
            <v>0.66079536751281864</v>
          </cell>
          <cell r="C28" t="str">
            <v>SUL</v>
          </cell>
          <cell r="D28">
            <v>0.65661703497098345</v>
          </cell>
          <cell r="E28">
            <v>0.63029999999999997</v>
          </cell>
          <cell r="F28">
            <v>0</v>
          </cell>
        </row>
        <row r="29">
          <cell r="A29" t="str">
            <v>Arvorezinha</v>
          </cell>
          <cell r="B29">
            <v>0.65880339263530818</v>
          </cell>
          <cell r="C29" t="str">
            <v>VALE DO TAQUARI</v>
          </cell>
          <cell r="D29">
            <v>0.75064951742439223</v>
          </cell>
          <cell r="E29">
            <v>0.4834</v>
          </cell>
          <cell r="F29">
            <v>0</v>
          </cell>
        </row>
        <row r="30">
          <cell r="A30" t="str">
            <v>Augusto Pestana</v>
          </cell>
          <cell r="B30">
            <v>0.78218426913243477</v>
          </cell>
          <cell r="C30" t="str">
            <v>NOROESTE COLONIAL</v>
          </cell>
          <cell r="D30">
            <v>0.78210389473788644</v>
          </cell>
          <cell r="E30">
            <v>0.42720000000000002</v>
          </cell>
          <cell r="F30">
            <v>0</v>
          </cell>
        </row>
        <row r="31">
          <cell r="A31" t="str">
            <v>Áurea</v>
          </cell>
          <cell r="B31">
            <v>0.66193543916061426</v>
          </cell>
          <cell r="C31" t="str">
            <v>NORTE</v>
          </cell>
          <cell r="D31">
            <v>0.7765417184743687</v>
          </cell>
          <cell r="E31">
            <v>0.50870000000000004</v>
          </cell>
          <cell r="F31">
            <v>0</v>
          </cell>
        </row>
        <row r="32">
          <cell r="A32" t="str">
            <v>Bagé</v>
          </cell>
          <cell r="B32">
            <v>0.64433081743795073</v>
          </cell>
          <cell r="C32" t="str">
            <v>CAMPANHA</v>
          </cell>
          <cell r="D32">
            <v>0.65815289147615053</v>
          </cell>
          <cell r="E32">
            <v>0.64139999999999997</v>
          </cell>
          <cell r="F32">
            <v>0</v>
          </cell>
        </row>
        <row r="33">
          <cell r="A33" t="str">
            <v>Balneário Pinhal</v>
          </cell>
          <cell r="B33">
            <v>0.55954548564274653</v>
          </cell>
          <cell r="C33" t="str">
            <v>LITORAL</v>
          </cell>
          <cell r="D33">
            <v>0.65197632440885878</v>
          </cell>
          <cell r="E33">
            <v>0.64229999999999998</v>
          </cell>
          <cell r="F33">
            <v>4</v>
          </cell>
        </row>
        <row r="34">
          <cell r="A34" t="str">
            <v>Barão</v>
          </cell>
          <cell r="B34">
            <v>0.75377284069036854</v>
          </cell>
          <cell r="C34" t="str">
            <v>VALE DO CAÍ</v>
          </cell>
          <cell r="D34">
            <v>0.7467472529579271</v>
          </cell>
          <cell r="E34">
            <v>0.31659999999999999</v>
          </cell>
          <cell r="F34" t="str">
            <v>2; 6</v>
          </cell>
        </row>
        <row r="35">
          <cell r="A35" t="str">
            <v>Barão de Cotegipe</v>
          </cell>
          <cell r="B35">
            <v>0.69506455681476953</v>
          </cell>
          <cell r="C35" t="str">
            <v>NORTE</v>
          </cell>
          <cell r="D35">
            <v>0.7765417184743687</v>
          </cell>
          <cell r="E35">
            <v>0.47889999999999999</v>
          </cell>
          <cell r="F35">
            <v>5</v>
          </cell>
        </row>
        <row r="36">
          <cell r="A36" t="str">
            <v>Barão do Triunfo</v>
          </cell>
          <cell r="B36">
            <v>0.55025888267866041</v>
          </cell>
          <cell r="C36" t="str">
            <v>CENTRO SUL</v>
          </cell>
          <cell r="D36">
            <v>0.63962091655125897</v>
          </cell>
          <cell r="E36">
            <v>0.6401</v>
          </cell>
          <cell r="F36">
            <v>0</v>
          </cell>
        </row>
        <row r="37">
          <cell r="A37" t="str">
            <v>Barra do Guarita</v>
          </cell>
          <cell r="B37">
            <v>0.54747442956110992</v>
          </cell>
          <cell r="C37" t="str">
            <v>CELEIRO</v>
          </cell>
          <cell r="D37">
            <v>0.67867533380807732</v>
          </cell>
          <cell r="E37">
            <v>0.75</v>
          </cell>
          <cell r="F37">
            <v>11</v>
          </cell>
        </row>
        <row r="38">
          <cell r="A38" t="str">
            <v>Barra do Quaraí</v>
          </cell>
          <cell r="B38">
            <v>0.75276826378474693</v>
          </cell>
          <cell r="C38" t="str">
            <v>FRONTEIRA OESTE</v>
          </cell>
          <cell r="D38">
            <v>0.65191476396461001</v>
          </cell>
          <cell r="E38">
            <v>0.6835</v>
          </cell>
          <cell r="F38">
            <v>0</v>
          </cell>
        </row>
        <row r="39">
          <cell r="A39" t="str">
            <v>Barra do Ribeiro</v>
          </cell>
          <cell r="B39">
            <v>0.62043360172544604</v>
          </cell>
          <cell r="C39" t="str">
            <v>CENTRO SUL</v>
          </cell>
          <cell r="D39">
            <v>0.63962091655125897</v>
          </cell>
          <cell r="E39">
            <v>0.54920000000000002</v>
          </cell>
          <cell r="F39" t="str">
            <v>7; 10; 11</v>
          </cell>
        </row>
        <row r="40">
          <cell r="A40" t="str">
            <v>Barra do Rio Azul</v>
          </cell>
          <cell r="B40">
            <v>0.6893725134550267</v>
          </cell>
          <cell r="C40" t="str">
            <v>NORTE</v>
          </cell>
          <cell r="D40">
            <v>0.7765417184743687</v>
          </cell>
          <cell r="E40">
            <v>0.505</v>
          </cell>
          <cell r="F40" t="str">
            <v>2; 6</v>
          </cell>
        </row>
        <row r="41">
          <cell r="A41" t="str">
            <v>Barra Funda</v>
          </cell>
          <cell r="B41">
            <v>0.81372621551056123</v>
          </cell>
          <cell r="C41" t="str">
            <v>RIO DA VÁRZEA</v>
          </cell>
          <cell r="D41">
            <v>0.72404919405158363</v>
          </cell>
          <cell r="E41">
            <v>0.36509999999999998</v>
          </cell>
          <cell r="F41">
            <v>0</v>
          </cell>
        </row>
        <row r="42">
          <cell r="A42" t="str">
            <v>Barracão</v>
          </cell>
          <cell r="B42">
            <v>0.72498459747692379</v>
          </cell>
          <cell r="C42" t="str">
            <v>NORDESTE</v>
          </cell>
          <cell r="D42">
            <v>0.73065139408555813</v>
          </cell>
          <cell r="E42">
            <v>0.4597</v>
          </cell>
          <cell r="F42">
            <v>9</v>
          </cell>
        </row>
        <row r="43">
          <cell r="A43" t="str">
            <v>Barros Cassal</v>
          </cell>
          <cell r="B43">
            <v>0.55182557108486008</v>
          </cell>
          <cell r="C43" t="str">
            <v>ALTO DA SERRA DO BOTUCARAÍ</v>
          </cell>
          <cell r="D43">
            <v>0.67356568186234722</v>
          </cell>
          <cell r="E43">
            <v>0.65959999999999996</v>
          </cell>
          <cell r="F43">
            <v>0</v>
          </cell>
        </row>
        <row r="44">
          <cell r="A44" t="str">
            <v>Benjamin Constant do Sul</v>
          </cell>
          <cell r="B44">
            <v>0.5381249749885606</v>
          </cell>
          <cell r="C44" t="str">
            <v>NORTE</v>
          </cell>
          <cell r="D44">
            <v>0.7765417184743687</v>
          </cell>
          <cell r="E44">
            <v>0.66259999999999997</v>
          </cell>
          <cell r="F44">
            <v>0</v>
          </cell>
        </row>
        <row r="45">
          <cell r="A45" t="str">
            <v>Bento Gonçalves</v>
          </cell>
          <cell r="B45">
            <v>0.8278013590316371</v>
          </cell>
          <cell r="C45" t="str">
            <v>SERRA</v>
          </cell>
          <cell r="D45">
            <v>0.81824158171645489</v>
          </cell>
          <cell r="E45">
            <v>0.2049</v>
          </cell>
          <cell r="F45">
            <v>0</v>
          </cell>
        </row>
        <row r="46">
          <cell r="A46" t="str">
            <v>Boa Vista das Missões</v>
          </cell>
          <cell r="B46">
            <v>0.83328903957726663</v>
          </cell>
          <cell r="C46" t="str">
            <v>RIO DA VÁRZEA</v>
          </cell>
          <cell r="D46">
            <v>0.72404919405158363</v>
          </cell>
          <cell r="E46">
            <v>0.39910000000000001</v>
          </cell>
          <cell r="F46">
            <v>2</v>
          </cell>
        </row>
        <row r="47">
          <cell r="A47" t="str">
            <v>Boa Vista do Buricá</v>
          </cell>
          <cell r="B47">
            <v>0.71369329988268904</v>
          </cell>
          <cell r="C47" t="str">
            <v>FRONTEIRA NOROESTE</v>
          </cell>
          <cell r="D47">
            <v>0.76178573110532932</v>
          </cell>
          <cell r="E47">
            <v>0.52470000000000006</v>
          </cell>
          <cell r="F47">
            <v>5</v>
          </cell>
        </row>
        <row r="48">
          <cell r="A48" t="str">
            <v>Boa Vista do Cadeado</v>
          </cell>
          <cell r="B48">
            <v>0.88266434542467609</v>
          </cell>
          <cell r="C48" t="str">
            <v>ALTO JACUÍ</v>
          </cell>
          <cell r="D48">
            <v>0.80731012575366412</v>
          </cell>
          <cell r="E48">
            <v>0.3009</v>
          </cell>
          <cell r="F48" t="str">
            <v>10; 11</v>
          </cell>
        </row>
        <row r="49">
          <cell r="A49" t="str">
            <v>Boa Vista do Incra</v>
          </cell>
          <cell r="B49">
            <v>0.83496115127334747</v>
          </cell>
          <cell r="C49" t="str">
            <v>ALTO JACUÍ</v>
          </cell>
          <cell r="D49">
            <v>0.80731012575366412</v>
          </cell>
          <cell r="E49">
            <v>0.32979999999999998</v>
          </cell>
          <cell r="F49">
            <v>0</v>
          </cell>
        </row>
        <row r="50">
          <cell r="A50" t="str">
            <v>Boa Vista do Sul</v>
          </cell>
          <cell r="B50">
            <v>0.68478579553864094</v>
          </cell>
          <cell r="C50" t="str">
            <v>SERRA</v>
          </cell>
          <cell r="D50">
            <v>0.81824158171645489</v>
          </cell>
          <cell r="E50">
            <v>0.38369999999999999</v>
          </cell>
          <cell r="F50">
            <v>0</v>
          </cell>
        </row>
        <row r="51">
          <cell r="A51" t="str">
            <v>Bom Jesus</v>
          </cell>
          <cell r="B51">
            <v>0.66568042831402408</v>
          </cell>
          <cell r="C51" t="str">
            <v>CAMPOS DE CIMA DA SERRA</v>
          </cell>
          <cell r="D51">
            <v>0.72496322746909969</v>
          </cell>
          <cell r="E51">
            <v>0.48330000000000001</v>
          </cell>
          <cell r="F51">
            <v>0</v>
          </cell>
        </row>
        <row r="52">
          <cell r="A52" t="str">
            <v>Bom Princípio</v>
          </cell>
          <cell r="B52">
            <v>0.76027119014173361</v>
          </cell>
          <cell r="C52" t="str">
            <v>VALE DO CAÍ</v>
          </cell>
          <cell r="D52">
            <v>0.7467472529579271</v>
          </cell>
          <cell r="E52">
            <v>0.31790000000000002</v>
          </cell>
          <cell r="F52">
            <v>5</v>
          </cell>
        </row>
        <row r="53">
          <cell r="A53" t="str">
            <v>Bom Progresso</v>
          </cell>
          <cell r="B53">
            <v>0.65303750185235965</v>
          </cell>
          <cell r="C53" t="str">
            <v>CELEIRO</v>
          </cell>
          <cell r="D53">
            <v>0.67867533380807732</v>
          </cell>
          <cell r="E53">
            <v>0.63719999999999999</v>
          </cell>
          <cell r="F53">
            <v>0</v>
          </cell>
        </row>
        <row r="54">
          <cell r="A54" t="str">
            <v>Bom Retiro do Sul</v>
          </cell>
          <cell r="B54">
            <v>0.63582165893490139</v>
          </cell>
          <cell r="C54" t="str">
            <v>VALE DO TAQUARI</v>
          </cell>
          <cell r="D54">
            <v>0.75064951742439223</v>
          </cell>
          <cell r="E54">
            <v>0.47489999999999999</v>
          </cell>
          <cell r="F54">
            <v>0</v>
          </cell>
        </row>
        <row r="55">
          <cell r="A55" t="str">
            <v>Boqueirão do Leão</v>
          </cell>
          <cell r="B55">
            <v>0.58117849184764991</v>
          </cell>
          <cell r="C55" t="str">
            <v>VALE DO RIO PARDO</v>
          </cell>
          <cell r="D55">
            <v>0.74524357951881126</v>
          </cell>
          <cell r="E55">
            <v>0.58140000000000003</v>
          </cell>
          <cell r="F55">
            <v>0</v>
          </cell>
        </row>
        <row r="56">
          <cell r="A56" t="str">
            <v>Bossoroca</v>
          </cell>
          <cell r="B56">
            <v>0.75317933127771219</v>
          </cell>
          <cell r="C56" t="str">
            <v>MISSÕES</v>
          </cell>
          <cell r="D56">
            <v>0.70911796647033065</v>
          </cell>
          <cell r="E56">
            <v>0.53859999999999997</v>
          </cell>
          <cell r="F56">
            <v>0</v>
          </cell>
        </row>
        <row r="57">
          <cell r="A57" t="str">
            <v>Bozano</v>
          </cell>
          <cell r="B57">
            <v>0.7859915541926068</v>
          </cell>
          <cell r="C57" t="str">
            <v>NOROESTE COLONIAL</v>
          </cell>
          <cell r="D57">
            <v>0.78210389473788644</v>
          </cell>
          <cell r="E57">
            <v>0.41799999999999998</v>
          </cell>
          <cell r="F57">
            <v>0</v>
          </cell>
        </row>
        <row r="58">
          <cell r="A58" t="str">
            <v>Braga</v>
          </cell>
          <cell r="B58">
            <v>0.64057653355100908</v>
          </cell>
          <cell r="C58" t="str">
            <v>CELEIRO</v>
          </cell>
          <cell r="D58">
            <v>0.67867533380807732</v>
          </cell>
          <cell r="E58">
            <v>0.64410000000000001</v>
          </cell>
          <cell r="F58">
            <v>2</v>
          </cell>
        </row>
        <row r="59">
          <cell r="A59" t="str">
            <v>Brochier</v>
          </cell>
          <cell r="B59">
            <v>0.61085241963538839</v>
          </cell>
          <cell r="C59" t="str">
            <v>VALE DO CAÍ</v>
          </cell>
          <cell r="D59">
            <v>0.7467472529579271</v>
          </cell>
          <cell r="E59">
            <v>0.51690000000000003</v>
          </cell>
          <cell r="F59">
            <v>3</v>
          </cell>
        </row>
        <row r="60">
          <cell r="A60" t="str">
            <v>Butiá</v>
          </cell>
          <cell r="B60">
            <v>0.61086029131051656</v>
          </cell>
          <cell r="C60" t="str">
            <v>CENTRO SUL</v>
          </cell>
          <cell r="D60">
            <v>0.63962091655125897</v>
          </cell>
          <cell r="E60">
            <v>0.57020000000000004</v>
          </cell>
          <cell r="F60">
            <v>0</v>
          </cell>
        </row>
        <row r="61">
          <cell r="A61" t="str">
            <v>Caçapava do Sul</v>
          </cell>
          <cell r="B61">
            <v>0.63177872527755286</v>
          </cell>
          <cell r="C61" t="str">
            <v>CAMPANHA</v>
          </cell>
          <cell r="D61">
            <v>0.65815289147615053</v>
          </cell>
          <cell r="E61">
            <v>0.6089</v>
          </cell>
          <cell r="F61">
            <v>0</v>
          </cell>
        </row>
        <row r="62">
          <cell r="A62" t="str">
            <v>Cacequi</v>
          </cell>
          <cell r="B62">
            <v>0.64898150228523988</v>
          </cell>
          <cell r="C62" t="str">
            <v>VALE DO JAGUARÍ</v>
          </cell>
          <cell r="D62">
            <v>0.6654549152476753</v>
          </cell>
          <cell r="E62">
            <v>0.66139999999999999</v>
          </cell>
          <cell r="F62">
            <v>0</v>
          </cell>
        </row>
        <row r="63">
          <cell r="A63" t="str">
            <v>Cachoeira do Sul</v>
          </cell>
          <cell r="B63">
            <v>0.67458956897759392</v>
          </cell>
          <cell r="C63" t="str">
            <v>JACUÍ CENTRO</v>
          </cell>
          <cell r="D63">
            <v>0.66683067195479895</v>
          </cell>
          <cell r="E63">
            <v>0.53449999999999998</v>
          </cell>
          <cell r="F63">
            <v>0</v>
          </cell>
        </row>
        <row r="64">
          <cell r="A64" t="str">
            <v>Cachoeirinha</v>
          </cell>
          <cell r="B64">
            <v>0.79766201612352705</v>
          </cell>
          <cell r="C64" t="str">
            <v>METROPOLITANO DO DELTA DO JACUÍ</v>
          </cell>
          <cell r="D64">
            <v>0.77260399691033332</v>
          </cell>
          <cell r="E64">
            <v>0.26390000000000002</v>
          </cell>
          <cell r="F64">
            <v>0</v>
          </cell>
        </row>
        <row r="65">
          <cell r="A65" t="str">
            <v>Cacique Doble</v>
          </cell>
          <cell r="B65">
            <v>0.60065013438992776</v>
          </cell>
          <cell r="C65" t="str">
            <v>NORDESTE</v>
          </cell>
          <cell r="D65">
            <v>0.73065139408555813</v>
          </cell>
          <cell r="E65">
            <v>0.58819999999999995</v>
          </cell>
          <cell r="F65">
            <v>0</v>
          </cell>
        </row>
        <row r="66">
          <cell r="A66" t="str">
            <v>Caibaté</v>
          </cell>
          <cell r="B66">
            <v>0.69682161161426814</v>
          </cell>
          <cell r="C66" t="str">
            <v>MISSÕES</v>
          </cell>
          <cell r="D66">
            <v>0.70911796647033065</v>
          </cell>
          <cell r="E66">
            <v>0.58830000000000005</v>
          </cell>
          <cell r="F66">
            <v>0</v>
          </cell>
        </row>
        <row r="67">
          <cell r="A67" t="str">
            <v>Caiçara</v>
          </cell>
          <cell r="B67">
            <v>0.64028660729617914</v>
          </cell>
          <cell r="C67" t="str">
            <v>MÉDIO ALTO URUGUAI</v>
          </cell>
          <cell r="D67">
            <v>0.67928410137535544</v>
          </cell>
          <cell r="E67">
            <v>0.64380000000000004</v>
          </cell>
          <cell r="F67">
            <v>3</v>
          </cell>
        </row>
        <row r="68">
          <cell r="A68" t="str">
            <v>Camaquã</v>
          </cell>
          <cell r="B68">
            <v>0.68048685168680123</v>
          </cell>
          <cell r="C68" t="str">
            <v>CENTRO SUL</v>
          </cell>
          <cell r="D68">
            <v>0.63962091655125897</v>
          </cell>
          <cell r="E68">
            <v>0.51519999999999999</v>
          </cell>
          <cell r="F68">
            <v>0</v>
          </cell>
        </row>
        <row r="69">
          <cell r="A69" t="str">
            <v>Camargo</v>
          </cell>
          <cell r="B69">
            <v>0.84942895903729043</v>
          </cell>
          <cell r="C69" t="str">
            <v>PRODUÇÃO</v>
          </cell>
          <cell r="D69">
            <v>0.77643264233807863</v>
          </cell>
          <cell r="E69">
            <v>0.2641</v>
          </cell>
          <cell r="F69">
            <v>0</v>
          </cell>
        </row>
        <row r="70">
          <cell r="A70" t="str">
            <v>Cambará do Sul</v>
          </cell>
          <cell r="B70">
            <v>0.6274338538880434</v>
          </cell>
          <cell r="C70" t="str">
            <v>HORTÊNSIAS</v>
          </cell>
          <cell r="D70">
            <v>0.72048239443520068</v>
          </cell>
          <cell r="E70">
            <v>0.52129999999999999</v>
          </cell>
          <cell r="F70">
            <v>0</v>
          </cell>
        </row>
        <row r="71">
          <cell r="A71" t="str">
            <v>Campestre da Serra</v>
          </cell>
          <cell r="B71">
            <v>0.73159267116361915</v>
          </cell>
          <cell r="C71" t="str">
            <v>CAMPOS DE CIMA DA SERRA</v>
          </cell>
          <cell r="D71">
            <v>0.72496322746909969</v>
          </cell>
          <cell r="E71">
            <v>0.38290000000000002</v>
          </cell>
          <cell r="F71">
            <v>0</v>
          </cell>
        </row>
        <row r="72">
          <cell r="A72" t="str">
            <v>Campina das Missões</v>
          </cell>
          <cell r="B72">
            <v>0.63526949129708732</v>
          </cell>
          <cell r="C72" t="str">
            <v>FRONTEIRA NOROESTE</v>
          </cell>
          <cell r="D72">
            <v>0.76178573110532932</v>
          </cell>
          <cell r="E72">
            <v>0.63970000000000005</v>
          </cell>
          <cell r="F72">
            <v>0</v>
          </cell>
        </row>
        <row r="73">
          <cell r="A73" t="str">
            <v>Campinas do Sul</v>
          </cell>
          <cell r="B73">
            <v>0.7580403013602367</v>
          </cell>
          <cell r="C73" t="str">
            <v>NORTE</v>
          </cell>
          <cell r="D73">
            <v>0.7765417184743687</v>
          </cell>
          <cell r="E73">
            <v>0.4229</v>
          </cell>
          <cell r="F73">
            <v>0</v>
          </cell>
        </row>
        <row r="74">
          <cell r="A74" t="str">
            <v>Campo Bom</v>
          </cell>
          <cell r="B74">
            <v>0.77437387487608</v>
          </cell>
          <cell r="C74" t="str">
            <v>VALE DO RIO DOS SINOS</v>
          </cell>
          <cell r="D74">
            <v>0.72562565243362109</v>
          </cell>
          <cell r="E74">
            <v>0.31130000000000002</v>
          </cell>
          <cell r="F74">
            <v>0</v>
          </cell>
        </row>
        <row r="75">
          <cell r="A75" t="str">
            <v>Campo Novo</v>
          </cell>
          <cell r="B75">
            <v>0.7236463468908646</v>
          </cell>
          <cell r="C75" t="str">
            <v>CELEIRO</v>
          </cell>
          <cell r="D75">
            <v>0.67867533380807732</v>
          </cell>
          <cell r="E75">
            <v>0.55079999999999996</v>
          </cell>
          <cell r="F75">
            <v>4</v>
          </cell>
        </row>
        <row r="76">
          <cell r="A76" t="str">
            <v>Campos Borges</v>
          </cell>
          <cell r="B76">
            <v>0.68158318526535211</v>
          </cell>
          <cell r="C76" t="str">
            <v>ALTO DA SERRA DO BOTUCARAÍ</v>
          </cell>
          <cell r="D76">
            <v>0.67356568186234722</v>
          </cell>
          <cell r="E76">
            <v>0.54300000000000004</v>
          </cell>
          <cell r="F76">
            <v>0</v>
          </cell>
        </row>
        <row r="77">
          <cell r="A77" t="str">
            <v>Candelária</v>
          </cell>
          <cell r="B77">
            <v>0.61544561697422828</v>
          </cell>
          <cell r="C77" t="str">
            <v>VALE DO RIO PARDO</v>
          </cell>
          <cell r="D77">
            <v>0.74524357951881126</v>
          </cell>
          <cell r="E77">
            <v>0.55149999999999999</v>
          </cell>
          <cell r="F77">
            <v>0</v>
          </cell>
        </row>
        <row r="78">
          <cell r="A78" t="str">
            <v>Cândido Godói</v>
          </cell>
          <cell r="B78">
            <v>0.73343966329810362</v>
          </cell>
          <cell r="C78" t="str">
            <v>FRONTEIRA NOROESTE</v>
          </cell>
          <cell r="D78">
            <v>0.76178573110532932</v>
          </cell>
          <cell r="E78">
            <v>0.52629999999999999</v>
          </cell>
          <cell r="F78">
            <v>0</v>
          </cell>
        </row>
        <row r="79">
          <cell r="A79" t="str">
            <v>Candiota</v>
          </cell>
          <cell r="B79">
            <v>0.66232939934821478</v>
          </cell>
          <cell r="C79" t="str">
            <v>CAMPANHA</v>
          </cell>
          <cell r="D79">
            <v>0.65815289147615053</v>
          </cell>
          <cell r="E79">
            <v>0.58979999999999999</v>
          </cell>
          <cell r="F79">
            <v>0</v>
          </cell>
        </row>
        <row r="80">
          <cell r="A80" t="str">
            <v>Canela</v>
          </cell>
          <cell r="B80">
            <v>0.64296974217819802</v>
          </cell>
          <cell r="C80" t="str">
            <v>HORTÊNSIAS</v>
          </cell>
          <cell r="D80">
            <v>0.72048239443520068</v>
          </cell>
          <cell r="E80">
            <v>0.47720000000000001</v>
          </cell>
          <cell r="F80">
            <v>0</v>
          </cell>
        </row>
        <row r="81">
          <cell r="A81" t="str">
            <v>Canguçu</v>
          </cell>
          <cell r="B81">
            <v>0.5851410796763068</v>
          </cell>
          <cell r="C81" t="str">
            <v>SUL</v>
          </cell>
          <cell r="D81">
            <v>0.65661703497098345</v>
          </cell>
          <cell r="E81">
            <v>0.66590000000000005</v>
          </cell>
          <cell r="F81">
            <v>4</v>
          </cell>
        </row>
        <row r="82">
          <cell r="A82" t="str">
            <v>Canoas</v>
          </cell>
          <cell r="B82">
            <v>0.73128074497842865</v>
          </cell>
          <cell r="C82" t="str">
            <v>VALE DO RIO DOS SINOS</v>
          </cell>
          <cell r="D82">
            <v>0.72562565243362109</v>
          </cell>
          <cell r="E82">
            <v>0.34379999999999999</v>
          </cell>
          <cell r="F82">
            <v>11</v>
          </cell>
        </row>
        <row r="83">
          <cell r="A83" t="str">
            <v>Canudos do Vale</v>
          </cell>
          <cell r="B83">
            <v>0.6852084137108323</v>
          </cell>
          <cell r="C83" t="str">
            <v>VALE DO TAQUARI</v>
          </cell>
          <cell r="D83">
            <v>0.75064951742439223</v>
          </cell>
          <cell r="E83">
            <v>0.46460000000000001</v>
          </cell>
          <cell r="F83">
            <v>0</v>
          </cell>
        </row>
        <row r="84">
          <cell r="A84" t="str">
            <v>Capão Bonito do Sul</v>
          </cell>
          <cell r="B84">
            <v>0.82067165246469709</v>
          </cell>
          <cell r="C84" t="str">
            <v>NORDESTE</v>
          </cell>
          <cell r="D84">
            <v>0.73065139408555813</v>
          </cell>
          <cell r="E84">
            <v>0.33310000000000001</v>
          </cell>
          <cell r="F84">
            <v>0</v>
          </cell>
        </row>
        <row r="85">
          <cell r="A85" t="str">
            <v>Capão da Canoa</v>
          </cell>
          <cell r="B85">
            <v>0.67461568633448621</v>
          </cell>
          <cell r="C85" t="str">
            <v>LITORAL</v>
          </cell>
          <cell r="D85">
            <v>0.65197632440885878</v>
          </cell>
          <cell r="E85">
            <v>0.51919999999999999</v>
          </cell>
          <cell r="F85">
            <v>9</v>
          </cell>
        </row>
        <row r="86">
          <cell r="A86" t="str">
            <v>Capão do Cipó</v>
          </cell>
          <cell r="B86">
            <v>0.87375329131368595</v>
          </cell>
          <cell r="C86" t="str">
            <v>VALE DO JAGUARÍ</v>
          </cell>
          <cell r="D86">
            <v>0.6654549152476753</v>
          </cell>
          <cell r="E86">
            <v>0.42409999999999998</v>
          </cell>
          <cell r="F86">
            <v>0</v>
          </cell>
        </row>
        <row r="87">
          <cell r="A87" t="str">
            <v>Capão do Leão</v>
          </cell>
          <cell r="B87">
            <v>0.5655425957045993</v>
          </cell>
          <cell r="C87" t="str">
            <v>SUL</v>
          </cell>
          <cell r="D87">
            <v>0.65661703497098345</v>
          </cell>
          <cell r="E87">
            <v>0.65949999999999998</v>
          </cell>
          <cell r="F87">
            <v>0</v>
          </cell>
        </row>
        <row r="88">
          <cell r="A88" t="str">
            <v>Capela de Santana</v>
          </cell>
          <cell r="B88">
            <v>0.55572497912061269</v>
          </cell>
          <cell r="C88" t="str">
            <v>VALE DO CAÍ</v>
          </cell>
          <cell r="D88">
            <v>0.7467472529579271</v>
          </cell>
          <cell r="E88">
            <v>0.54879999999999995</v>
          </cell>
          <cell r="F88" t="str">
            <v>7; 10; 11</v>
          </cell>
        </row>
        <row r="89">
          <cell r="A89" t="str">
            <v>Capitão</v>
          </cell>
          <cell r="B89">
            <v>0.66560750852514183</v>
          </cell>
          <cell r="C89" t="str">
            <v>VALE DO TAQUARI</v>
          </cell>
          <cell r="D89">
            <v>0.75064951742439223</v>
          </cell>
          <cell r="E89">
            <v>0.46710000000000002</v>
          </cell>
          <cell r="F89">
            <v>0</v>
          </cell>
        </row>
        <row r="90">
          <cell r="A90" t="str">
            <v>Capivari do Sul</v>
          </cell>
          <cell r="B90">
            <v>0.79977219005292199</v>
          </cell>
          <cell r="C90" t="str">
            <v>LITORAL</v>
          </cell>
          <cell r="D90">
            <v>0.65197632440885878</v>
          </cell>
          <cell r="E90">
            <v>0.3679</v>
          </cell>
          <cell r="F90">
            <v>0</v>
          </cell>
        </row>
        <row r="91">
          <cell r="A91" t="str">
            <v>Caraá</v>
          </cell>
          <cell r="B91">
            <v>0.51271795437579171</v>
          </cell>
          <cell r="C91" t="str">
            <v>LITORAL</v>
          </cell>
          <cell r="D91">
            <v>0.65197632440885878</v>
          </cell>
          <cell r="E91">
            <v>0.68440000000000001</v>
          </cell>
          <cell r="F91">
            <v>0</v>
          </cell>
        </row>
        <row r="92">
          <cell r="A92" t="str">
            <v>Carazinho</v>
          </cell>
          <cell r="B92">
            <v>0.75351744140973209</v>
          </cell>
          <cell r="C92" t="str">
            <v>PRODUÇÃO</v>
          </cell>
          <cell r="D92">
            <v>0.77643264233807863</v>
          </cell>
          <cell r="E92">
            <v>0.40600000000000003</v>
          </cell>
          <cell r="F92">
            <v>0</v>
          </cell>
        </row>
        <row r="93">
          <cell r="A93" t="str">
            <v>Carlos Barbosa</v>
          </cell>
          <cell r="B93">
            <v>0.90099482370690376</v>
          </cell>
          <cell r="C93" t="str">
            <v>SERRA</v>
          </cell>
          <cell r="D93">
            <v>0.81824158171645489</v>
          </cell>
          <cell r="E93">
            <v>0.109</v>
          </cell>
          <cell r="F93">
            <v>0</v>
          </cell>
        </row>
        <row r="94">
          <cell r="A94" t="str">
            <v>Carlos Gomes</v>
          </cell>
          <cell r="B94">
            <v>0.66179060140692159</v>
          </cell>
          <cell r="C94" t="str">
            <v>NORTE</v>
          </cell>
          <cell r="D94">
            <v>0.7765417184743687</v>
          </cell>
          <cell r="E94">
            <v>0.50690000000000002</v>
          </cell>
          <cell r="F94">
            <v>0</v>
          </cell>
        </row>
        <row r="95">
          <cell r="A95" t="str">
            <v>Casca</v>
          </cell>
          <cell r="B95">
            <v>0.8081528574659842</v>
          </cell>
          <cell r="C95" t="str">
            <v>PRODUÇÃO</v>
          </cell>
          <cell r="D95">
            <v>0.77643264233807863</v>
          </cell>
          <cell r="E95">
            <v>0.30530000000000002</v>
          </cell>
          <cell r="F95">
            <v>0</v>
          </cell>
        </row>
        <row r="96">
          <cell r="A96" t="str">
            <v>Caseiros</v>
          </cell>
          <cell r="B96">
            <v>0.72118870083951869</v>
          </cell>
          <cell r="C96" t="str">
            <v>NORDESTE</v>
          </cell>
          <cell r="D96">
            <v>0.73065139408555813</v>
          </cell>
          <cell r="E96">
            <v>0.43859999999999999</v>
          </cell>
          <cell r="F96">
            <v>0</v>
          </cell>
        </row>
        <row r="97">
          <cell r="A97" t="str">
            <v>Catuípe</v>
          </cell>
          <cell r="B97">
            <v>0.72920493998578706</v>
          </cell>
          <cell r="C97" t="str">
            <v>NOROESTE COLONIAL</v>
          </cell>
          <cell r="D97">
            <v>0.78210389473788644</v>
          </cell>
          <cell r="E97">
            <v>0.48970000000000002</v>
          </cell>
          <cell r="F97">
            <v>3</v>
          </cell>
        </row>
        <row r="98">
          <cell r="A98" t="str">
            <v>Caxias do Sul</v>
          </cell>
          <cell r="B98">
            <v>0.8244344877916665</v>
          </cell>
          <cell r="C98" t="str">
            <v>SERRA</v>
          </cell>
          <cell r="D98">
            <v>0.81824158171645489</v>
          </cell>
          <cell r="E98">
            <v>0.1973</v>
          </cell>
          <cell r="F98">
            <v>1</v>
          </cell>
        </row>
        <row r="99">
          <cell r="A99" t="str">
            <v>Centenário</v>
          </cell>
          <cell r="B99">
            <v>0.65686248334909125</v>
          </cell>
          <cell r="C99" t="str">
            <v>NORTE</v>
          </cell>
          <cell r="D99">
            <v>0.7765417184743687</v>
          </cell>
          <cell r="E99">
            <v>0.51160000000000005</v>
          </cell>
          <cell r="F99">
            <v>0</v>
          </cell>
        </row>
        <row r="100">
          <cell r="A100" t="str">
            <v>Cerrito</v>
          </cell>
          <cell r="B100">
            <v>0.54593038567647667</v>
          </cell>
          <cell r="C100" t="str">
            <v>SUL</v>
          </cell>
          <cell r="D100">
            <v>0.65661703497098345</v>
          </cell>
          <cell r="E100">
            <v>0.73</v>
          </cell>
          <cell r="F100">
            <v>0</v>
          </cell>
        </row>
        <row r="101">
          <cell r="A101" t="str">
            <v>Cerro Branco</v>
          </cell>
          <cell r="B101">
            <v>0.58306034681475882</v>
          </cell>
          <cell r="C101" t="str">
            <v>JACUÍ CENTRO</v>
          </cell>
          <cell r="D101">
            <v>0.66683067195479895</v>
          </cell>
          <cell r="E101">
            <v>0.64770000000000005</v>
          </cell>
          <cell r="F101">
            <v>3</v>
          </cell>
        </row>
        <row r="102">
          <cell r="A102" t="str">
            <v>Cerro Grande</v>
          </cell>
          <cell r="B102">
            <v>0.63082756346916347</v>
          </cell>
          <cell r="C102" t="str">
            <v>RIO DA VÁRZEA</v>
          </cell>
          <cell r="D102">
            <v>0.72404919405158363</v>
          </cell>
          <cell r="E102">
            <v>0.61009999999999998</v>
          </cell>
          <cell r="F102" t="str">
            <v>2; 6</v>
          </cell>
        </row>
        <row r="103">
          <cell r="A103" t="str">
            <v>Cerro Grande do Sul</v>
          </cell>
          <cell r="B103">
            <v>0.5480098672027206</v>
          </cell>
          <cell r="C103" t="str">
            <v>CENTRO SUL</v>
          </cell>
          <cell r="D103">
            <v>0.63962091655125897</v>
          </cell>
          <cell r="E103">
            <v>0.65329999999999999</v>
          </cell>
          <cell r="F103">
            <v>0</v>
          </cell>
        </row>
        <row r="104">
          <cell r="A104" t="str">
            <v>Cerro Largo</v>
          </cell>
          <cell r="B104">
            <v>0.80325809674132109</v>
          </cell>
          <cell r="C104" t="str">
            <v>MISSÕES</v>
          </cell>
          <cell r="D104">
            <v>0.70911796647033065</v>
          </cell>
          <cell r="E104">
            <v>0.47899999999999998</v>
          </cell>
          <cell r="F104">
            <v>4</v>
          </cell>
        </row>
        <row r="105">
          <cell r="A105" t="str">
            <v>Chapada</v>
          </cell>
          <cell r="B105">
            <v>0.78964774473830213</v>
          </cell>
          <cell r="C105" t="str">
            <v>PRODUÇÃO</v>
          </cell>
          <cell r="D105">
            <v>0.77643264233807863</v>
          </cell>
          <cell r="E105">
            <v>0.41949999999999998</v>
          </cell>
          <cell r="F105">
            <v>0</v>
          </cell>
        </row>
        <row r="106">
          <cell r="A106" t="str">
            <v>Charqueadas</v>
          </cell>
          <cell r="B106">
            <v>0.72624576771029448</v>
          </cell>
          <cell r="C106" t="str">
            <v>CENTRO SUL</v>
          </cell>
          <cell r="D106">
            <v>0.63962091655125897</v>
          </cell>
          <cell r="E106">
            <v>0.4007</v>
          </cell>
          <cell r="F106">
            <v>0</v>
          </cell>
        </row>
        <row r="107">
          <cell r="A107" t="str">
            <v>Charrua</v>
          </cell>
          <cell r="B107">
            <v>0.61601856266299415</v>
          </cell>
          <cell r="C107" t="str">
            <v>NORTE</v>
          </cell>
          <cell r="D107">
            <v>0.7765417184743687</v>
          </cell>
          <cell r="E107">
            <v>0.54700000000000004</v>
          </cell>
          <cell r="F107">
            <v>0</v>
          </cell>
        </row>
        <row r="108">
          <cell r="A108" t="str">
            <v>Chiapeta</v>
          </cell>
          <cell r="B108">
            <v>0.79323656054562575</v>
          </cell>
          <cell r="C108" t="str">
            <v>CELEIRO</v>
          </cell>
          <cell r="D108">
            <v>0.67867533380807732</v>
          </cell>
          <cell r="E108">
            <v>0.48249999999999998</v>
          </cell>
          <cell r="F108">
            <v>0</v>
          </cell>
        </row>
        <row r="109">
          <cell r="A109" t="str">
            <v>Chuí</v>
          </cell>
          <cell r="B109">
            <v>0.68856519546721251</v>
          </cell>
          <cell r="C109" t="str">
            <v>SUL</v>
          </cell>
          <cell r="D109">
            <v>0.65661703497098345</v>
          </cell>
          <cell r="E109">
            <v>0.6764</v>
          </cell>
          <cell r="F109">
            <v>0</v>
          </cell>
        </row>
        <row r="110">
          <cell r="A110" t="str">
            <v>Chuvisca</v>
          </cell>
          <cell r="B110">
            <v>0.61122433230079043</v>
          </cell>
          <cell r="C110" t="str">
            <v>CENTRO SUL</v>
          </cell>
          <cell r="D110">
            <v>0.63962091655125897</v>
          </cell>
          <cell r="E110">
            <v>0.60299999999999998</v>
          </cell>
          <cell r="F110" t="str">
            <v>6; 7; 10; 11</v>
          </cell>
        </row>
        <row r="111">
          <cell r="A111" t="str">
            <v>Cidreira</v>
          </cell>
          <cell r="B111">
            <v>0.57854843086211305</v>
          </cell>
          <cell r="C111" t="str">
            <v>LITORAL</v>
          </cell>
          <cell r="D111">
            <v>0.65197632440885878</v>
          </cell>
          <cell r="E111">
            <v>0.621</v>
          </cell>
          <cell r="F111" t="str">
            <v>2; 6</v>
          </cell>
        </row>
        <row r="112">
          <cell r="A112" t="str">
            <v>Ciríaco</v>
          </cell>
          <cell r="B112">
            <v>0.68533192423555822</v>
          </cell>
          <cell r="C112" t="str">
            <v>PRODUÇÃO</v>
          </cell>
          <cell r="D112">
            <v>0.77643264233807863</v>
          </cell>
          <cell r="E112">
            <v>0.45290000000000002</v>
          </cell>
          <cell r="F112">
            <v>0</v>
          </cell>
        </row>
        <row r="113">
          <cell r="A113" t="str">
            <v>Colinas</v>
          </cell>
          <cell r="B113">
            <v>0.71257643262066228</v>
          </cell>
          <cell r="C113" t="str">
            <v>VALE DO TAQUARI</v>
          </cell>
          <cell r="D113">
            <v>0.75064951742439223</v>
          </cell>
          <cell r="E113">
            <v>0.39779999999999999</v>
          </cell>
          <cell r="F113">
            <v>0</v>
          </cell>
        </row>
        <row r="114">
          <cell r="A114" t="str">
            <v>Colorado</v>
          </cell>
          <cell r="B114">
            <v>0.81736383304539306</v>
          </cell>
          <cell r="C114" t="str">
            <v>ALTO JACUÍ</v>
          </cell>
          <cell r="D114">
            <v>0.80731012575366412</v>
          </cell>
          <cell r="E114">
            <v>0.33400000000000002</v>
          </cell>
          <cell r="F114">
            <v>0</v>
          </cell>
        </row>
        <row r="115">
          <cell r="A115" t="str">
            <v>Condor</v>
          </cell>
          <cell r="B115">
            <v>0.82759767722025657</v>
          </cell>
          <cell r="C115" t="str">
            <v>NOROESTE COLONIAL</v>
          </cell>
          <cell r="D115">
            <v>0.78210389473788644</v>
          </cell>
          <cell r="E115">
            <v>0.35270000000000001</v>
          </cell>
          <cell r="F115">
            <v>0</v>
          </cell>
        </row>
        <row r="116">
          <cell r="A116" t="str">
            <v>Constantina</v>
          </cell>
          <cell r="B116">
            <v>0.68892448156118624</v>
          </cell>
          <cell r="C116" t="str">
            <v>RIO DA VÁRZEA</v>
          </cell>
          <cell r="D116">
            <v>0.72404919405158363</v>
          </cell>
          <cell r="E116">
            <v>0.53029999999999999</v>
          </cell>
          <cell r="F116">
            <v>0</v>
          </cell>
        </row>
        <row r="117">
          <cell r="A117" t="str">
            <v>Coqueiro Baixo</v>
          </cell>
          <cell r="B117">
            <v>0.67108439715976786</v>
          </cell>
          <cell r="C117" t="str">
            <v>VALE DO TAQUARI</v>
          </cell>
          <cell r="D117">
            <v>0.75064951742439223</v>
          </cell>
          <cell r="E117">
            <v>0.47270000000000001</v>
          </cell>
          <cell r="F117">
            <v>5</v>
          </cell>
        </row>
        <row r="118">
          <cell r="A118" t="str">
            <v>Coqueiros do Sul</v>
          </cell>
          <cell r="B118">
            <v>0.77361836327302647</v>
          </cell>
          <cell r="C118" t="str">
            <v>PRODUÇÃO</v>
          </cell>
          <cell r="D118">
            <v>0.77643264233807863</v>
          </cell>
          <cell r="E118">
            <v>0.39960000000000001</v>
          </cell>
          <cell r="F118">
            <v>0</v>
          </cell>
        </row>
        <row r="119">
          <cell r="A119" t="str">
            <v>Coronel Barros</v>
          </cell>
          <cell r="B119">
            <v>0.74678862372837873</v>
          </cell>
          <cell r="C119" t="str">
            <v>NOROESTE COLONIAL</v>
          </cell>
          <cell r="D119">
            <v>0.78210389473788644</v>
          </cell>
          <cell r="E119">
            <v>0.4672</v>
          </cell>
          <cell r="F119">
            <v>0</v>
          </cell>
        </row>
        <row r="120">
          <cell r="A120" t="str">
            <v>Coronel Bicaco</v>
          </cell>
          <cell r="B120">
            <v>0.71493865021313896</v>
          </cell>
          <cell r="C120" t="str">
            <v>CELEIRO</v>
          </cell>
          <cell r="D120">
            <v>0.67867533380807732</v>
          </cell>
          <cell r="E120">
            <v>0.55940000000000001</v>
          </cell>
          <cell r="F120">
            <v>0</v>
          </cell>
        </row>
        <row r="121">
          <cell r="A121" t="str">
            <v>Coronel Pilar</v>
          </cell>
          <cell r="B121">
            <v>0.67256263960591112</v>
          </cell>
          <cell r="C121" t="str">
            <v>SERRA</v>
          </cell>
          <cell r="D121">
            <v>0.81824158171645489</v>
          </cell>
          <cell r="E121">
            <v>0.40939999999999999</v>
          </cell>
          <cell r="F121">
            <v>3</v>
          </cell>
        </row>
        <row r="122">
          <cell r="A122" t="str">
            <v>Cotiporã</v>
          </cell>
          <cell r="B122">
            <v>0.72439304092301682</v>
          </cell>
          <cell r="C122" t="str">
            <v>SERRA</v>
          </cell>
          <cell r="D122">
            <v>0.81824158171645489</v>
          </cell>
          <cell r="E122">
            <v>0.31590000000000001</v>
          </cell>
          <cell r="F122">
            <v>0</v>
          </cell>
        </row>
        <row r="123">
          <cell r="A123" t="str">
            <v>Coxilha</v>
          </cell>
          <cell r="B123">
            <v>0.85076799770351641</v>
          </cell>
          <cell r="C123" t="str">
            <v>PRODUÇÃO</v>
          </cell>
          <cell r="D123">
            <v>0.77643264233807863</v>
          </cell>
          <cell r="E123">
            <v>0.29959999999999998</v>
          </cell>
          <cell r="F123">
            <v>5</v>
          </cell>
        </row>
        <row r="124">
          <cell r="A124" t="str">
            <v>Crissiumal</v>
          </cell>
          <cell r="B124">
            <v>0.6573834925472325</v>
          </cell>
          <cell r="C124" t="str">
            <v>CELEIRO</v>
          </cell>
          <cell r="D124">
            <v>0.67867533380807732</v>
          </cell>
          <cell r="E124">
            <v>0.6351</v>
          </cell>
          <cell r="F124">
            <v>3</v>
          </cell>
        </row>
        <row r="125">
          <cell r="A125" t="str">
            <v>Cristal</v>
          </cell>
          <cell r="B125">
            <v>0.61196207598644159</v>
          </cell>
          <cell r="C125" t="str">
            <v>CENTRO SUL</v>
          </cell>
          <cell r="D125">
            <v>0.63962091655125897</v>
          </cell>
          <cell r="E125">
            <v>0.61129999999999995</v>
          </cell>
          <cell r="F125">
            <v>0</v>
          </cell>
        </row>
        <row r="126">
          <cell r="A126" t="str">
            <v>Cristal do Sul</v>
          </cell>
          <cell r="B126">
            <v>0.61865717577510626</v>
          </cell>
          <cell r="C126" t="str">
            <v>MÉDIO ALTO URUGUAI</v>
          </cell>
          <cell r="D126">
            <v>0.67928410137535544</v>
          </cell>
          <cell r="E126">
            <v>0.6542</v>
          </cell>
          <cell r="F126">
            <v>0</v>
          </cell>
        </row>
        <row r="127">
          <cell r="A127" t="str">
            <v>Cruz Alta</v>
          </cell>
          <cell r="B127">
            <v>0.7978163400656727</v>
          </cell>
          <cell r="C127" t="str">
            <v>ALTO JACUÍ</v>
          </cell>
          <cell r="D127">
            <v>0.80731012575366412</v>
          </cell>
          <cell r="E127">
            <v>0.37419999999999998</v>
          </cell>
          <cell r="F127">
            <v>0</v>
          </cell>
        </row>
        <row r="128">
          <cell r="A128" t="str">
            <v>Cruzaltense</v>
          </cell>
          <cell r="B128">
            <v>0.73803933197566429</v>
          </cell>
          <cell r="C128" t="str">
            <v>NORTE</v>
          </cell>
          <cell r="D128">
            <v>0.7765417184743687</v>
          </cell>
          <cell r="E128">
            <v>0.4486</v>
          </cell>
          <cell r="F128">
            <v>9</v>
          </cell>
        </row>
        <row r="129">
          <cell r="A129" t="str">
            <v>Cruzeiro do Sul</v>
          </cell>
          <cell r="B129">
            <v>0.68320357418009925</v>
          </cell>
          <cell r="C129" t="str">
            <v>VALE DO TAQUARI</v>
          </cell>
          <cell r="D129">
            <v>0.75064951742439223</v>
          </cell>
          <cell r="E129">
            <v>0.441</v>
          </cell>
          <cell r="F129">
            <v>3</v>
          </cell>
        </row>
        <row r="130">
          <cell r="A130" t="str">
            <v>David Canabarro</v>
          </cell>
          <cell r="B130">
            <v>0.72894003412557051</v>
          </cell>
          <cell r="C130" t="str">
            <v>PRODUÇÃO</v>
          </cell>
          <cell r="D130">
            <v>0.77643264233807863</v>
          </cell>
          <cell r="E130">
            <v>0.40310000000000001</v>
          </cell>
          <cell r="F130">
            <v>5</v>
          </cell>
        </row>
        <row r="131">
          <cell r="A131" t="str">
            <v>Derrubadas</v>
          </cell>
          <cell r="B131">
            <v>0.68341599489019844</v>
          </cell>
          <cell r="C131" t="str">
            <v>CELEIRO</v>
          </cell>
          <cell r="D131">
            <v>0.67867533380807732</v>
          </cell>
          <cell r="E131">
            <v>0.61409999999999998</v>
          </cell>
          <cell r="F131">
            <v>0</v>
          </cell>
        </row>
        <row r="132">
          <cell r="A132" t="str">
            <v>Dezesseis de Novembro</v>
          </cell>
          <cell r="B132">
            <v>0.5391577994715635</v>
          </cell>
          <cell r="C132" t="str">
            <v>MISSÕES</v>
          </cell>
          <cell r="D132">
            <v>0.70911796647033065</v>
          </cell>
          <cell r="E132">
            <v>0.7782</v>
          </cell>
          <cell r="F132">
            <v>10</v>
          </cell>
        </row>
        <row r="133">
          <cell r="A133" t="str">
            <v>Dilermando de Aguiar</v>
          </cell>
          <cell r="B133">
            <v>0.72428406384543587</v>
          </cell>
          <cell r="C133" t="str">
            <v>CENTRAL</v>
          </cell>
          <cell r="D133">
            <v>0.70246145903597013</v>
          </cell>
          <cell r="E133">
            <v>0.53400000000000003</v>
          </cell>
          <cell r="F133">
            <v>0</v>
          </cell>
        </row>
        <row r="134">
          <cell r="A134" t="str">
            <v>Dois Irmãos</v>
          </cell>
          <cell r="B134">
            <v>0.83003191828164535</v>
          </cell>
          <cell r="C134" t="str">
            <v>VALE DO RIO DOS SINOS</v>
          </cell>
          <cell r="D134">
            <v>0.72562565243362109</v>
          </cell>
          <cell r="E134">
            <v>0.25509999999999999</v>
          </cell>
          <cell r="F134">
            <v>0</v>
          </cell>
        </row>
        <row r="135">
          <cell r="A135" t="str">
            <v>Dois Irmãos das Missões</v>
          </cell>
          <cell r="B135">
            <v>0.79538587575327724</v>
          </cell>
          <cell r="C135" t="str">
            <v>MÉDIO ALTO URUGUAI</v>
          </cell>
          <cell r="D135">
            <v>0.67928410137535544</v>
          </cell>
          <cell r="E135">
            <v>0.47189999999999999</v>
          </cell>
          <cell r="F135">
            <v>0</v>
          </cell>
        </row>
        <row r="136">
          <cell r="A136" t="str">
            <v>Dois Lajeados</v>
          </cell>
          <cell r="B136">
            <v>0.71807573811248759</v>
          </cell>
          <cell r="C136" t="str">
            <v>VALE DO TAQUARI</v>
          </cell>
          <cell r="D136">
            <v>0.75064951742439223</v>
          </cell>
          <cell r="E136">
            <v>0.4078</v>
          </cell>
          <cell r="F136">
            <v>11</v>
          </cell>
        </row>
        <row r="137">
          <cell r="A137" t="str">
            <v>Dom Feliciano</v>
          </cell>
          <cell r="B137">
            <v>0.53818058831335103</v>
          </cell>
          <cell r="C137" t="str">
            <v>CENTRO SUL</v>
          </cell>
          <cell r="D137">
            <v>0.63962091655125897</v>
          </cell>
          <cell r="E137">
            <v>0.68159999999999998</v>
          </cell>
          <cell r="F137">
            <v>5</v>
          </cell>
        </row>
        <row r="138">
          <cell r="A138" t="str">
            <v>Dom Pedrito</v>
          </cell>
          <cell r="B138">
            <v>0.69579406794172949</v>
          </cell>
          <cell r="C138" t="str">
            <v>CAMPANHA</v>
          </cell>
          <cell r="D138">
            <v>0.65815289147615053</v>
          </cell>
          <cell r="E138">
            <v>0.61109999999999998</v>
          </cell>
          <cell r="F138">
            <v>4</v>
          </cell>
        </row>
        <row r="139">
          <cell r="A139" t="str">
            <v>Dom Pedro de Alcântara</v>
          </cell>
          <cell r="B139">
            <v>0.61298685878313375</v>
          </cell>
          <cell r="C139" t="str">
            <v>LITORAL</v>
          </cell>
          <cell r="D139">
            <v>0.65197632440885878</v>
          </cell>
          <cell r="E139">
            <v>0.60089999999999999</v>
          </cell>
          <cell r="F139">
            <v>0</v>
          </cell>
        </row>
        <row r="140">
          <cell r="A140" t="str">
            <v>Dona Francisca</v>
          </cell>
          <cell r="B140">
            <v>0.65707130329650776</v>
          </cell>
          <cell r="C140" t="str">
            <v>CENTRAL</v>
          </cell>
          <cell r="D140">
            <v>0.70246145903597013</v>
          </cell>
          <cell r="E140">
            <v>0.54969999999999997</v>
          </cell>
          <cell r="F140">
            <v>0</v>
          </cell>
        </row>
        <row r="141">
          <cell r="A141" t="str">
            <v>Doutor Maurício Cardoso</v>
          </cell>
          <cell r="B141">
            <v>0.74791696448814637</v>
          </cell>
          <cell r="C141" t="str">
            <v>FRONTEIRA NOROESTE</v>
          </cell>
          <cell r="D141">
            <v>0.76178573110532932</v>
          </cell>
          <cell r="E141">
            <v>0.51259999999999994</v>
          </cell>
          <cell r="F141">
            <v>0</v>
          </cell>
        </row>
        <row r="142">
          <cell r="A142" t="str">
            <v>Doutor Ricardo</v>
          </cell>
          <cell r="B142">
            <v>0.7318080013481687</v>
          </cell>
          <cell r="C142" t="str">
            <v>VALE DO TAQUARI</v>
          </cell>
          <cell r="D142">
            <v>0.75064951742439223</v>
          </cell>
          <cell r="E142">
            <v>0.3795</v>
          </cell>
          <cell r="F142">
            <v>0</v>
          </cell>
        </row>
        <row r="143">
          <cell r="A143" t="str">
            <v>Eldorado do Sul</v>
          </cell>
          <cell r="B143">
            <v>0.71036090517573203</v>
          </cell>
          <cell r="C143" t="str">
            <v>METROPOLITANO DO DELTA DO JACUÍ</v>
          </cell>
          <cell r="D143">
            <v>0.77260399691033332</v>
          </cell>
          <cell r="E143">
            <v>0.37690000000000001</v>
          </cell>
          <cell r="F143">
            <v>0</v>
          </cell>
        </row>
        <row r="144">
          <cell r="A144" t="str">
            <v>Encantado</v>
          </cell>
          <cell r="B144">
            <v>0.75510538103924596</v>
          </cell>
          <cell r="C144" t="str">
            <v>VALE DO TAQUARI</v>
          </cell>
          <cell r="D144">
            <v>0.75064951742439223</v>
          </cell>
          <cell r="E144">
            <v>0.33789999999999998</v>
          </cell>
          <cell r="F144">
            <v>0</v>
          </cell>
        </row>
        <row r="145">
          <cell r="A145" t="str">
            <v>Encruzilhada do Sul</v>
          </cell>
          <cell r="B145">
            <v>0.58465567753126946</v>
          </cell>
          <cell r="C145" t="str">
            <v>VALE DO RIO PARDO</v>
          </cell>
          <cell r="D145">
            <v>0.74524357951881126</v>
          </cell>
          <cell r="E145">
            <v>0.58579999999999999</v>
          </cell>
          <cell r="F145">
            <v>0</v>
          </cell>
        </row>
        <row r="146">
          <cell r="A146" t="str">
            <v>Engenho Velho</v>
          </cell>
          <cell r="B146">
            <v>0.70975740063695714</v>
          </cell>
          <cell r="C146" t="str">
            <v>RIO DA VÁRZEA</v>
          </cell>
          <cell r="D146">
            <v>0.72404919405158363</v>
          </cell>
          <cell r="E146">
            <v>0.51280000000000003</v>
          </cell>
          <cell r="F146">
            <v>0</v>
          </cell>
        </row>
        <row r="147">
          <cell r="A147" t="str">
            <v>Entre Rios do Sul</v>
          </cell>
          <cell r="B147">
            <v>0.84481974905505819</v>
          </cell>
          <cell r="C147" t="str">
            <v>NORTE</v>
          </cell>
          <cell r="D147">
            <v>0.7765417184743687</v>
          </cell>
          <cell r="E147">
            <v>0.27739999999999998</v>
          </cell>
          <cell r="F147">
            <v>1</v>
          </cell>
        </row>
        <row r="148">
          <cell r="A148" t="str">
            <v>Entre-Ijuís</v>
          </cell>
          <cell r="B148">
            <v>0.71072525715481893</v>
          </cell>
          <cell r="C148" t="str">
            <v>MISSÕES</v>
          </cell>
          <cell r="D148">
            <v>0.70911796647033065</v>
          </cell>
          <cell r="E148">
            <v>0.55730000000000002</v>
          </cell>
          <cell r="F148">
            <v>0</v>
          </cell>
        </row>
        <row r="149">
          <cell r="A149" t="str">
            <v>Erebango</v>
          </cell>
          <cell r="B149">
            <v>0.69244698459811715</v>
          </cell>
          <cell r="C149" t="str">
            <v>NORTE</v>
          </cell>
          <cell r="D149">
            <v>0.7765417184743687</v>
          </cell>
          <cell r="E149">
            <v>0.47239999999999999</v>
          </cell>
          <cell r="F149">
            <v>0</v>
          </cell>
        </row>
        <row r="150">
          <cell r="A150" t="str">
            <v>Erechim</v>
          </cell>
          <cell r="B150">
            <v>0.80607529283634904</v>
          </cell>
          <cell r="C150" t="str">
            <v>NORTE</v>
          </cell>
          <cell r="D150">
            <v>0.7765417184743687</v>
          </cell>
          <cell r="E150">
            <v>0.32940000000000003</v>
          </cell>
          <cell r="F150">
            <v>11</v>
          </cell>
        </row>
        <row r="151">
          <cell r="A151" t="str">
            <v>Ernestina</v>
          </cell>
          <cell r="B151">
            <v>0.77576124906006161</v>
          </cell>
          <cell r="C151" t="str">
            <v>PRODUÇÃO</v>
          </cell>
          <cell r="D151">
            <v>0.77643264233807863</v>
          </cell>
          <cell r="E151">
            <v>0.37519999999999998</v>
          </cell>
          <cell r="F151">
            <v>0</v>
          </cell>
        </row>
        <row r="152">
          <cell r="A152" t="str">
            <v>Erval Grande</v>
          </cell>
          <cell r="B152">
            <v>0.60099076596929357</v>
          </cell>
          <cell r="C152" t="str">
            <v>NORTE</v>
          </cell>
          <cell r="D152">
            <v>0.7765417184743687</v>
          </cell>
          <cell r="E152">
            <v>0.59670000000000001</v>
          </cell>
          <cell r="F152">
            <v>11</v>
          </cell>
        </row>
        <row r="153">
          <cell r="A153" t="str">
            <v>Erval Seco</v>
          </cell>
          <cell r="B153">
            <v>0.69943831238385401</v>
          </cell>
          <cell r="C153" t="str">
            <v>MÉDIO ALTO URUGUAI</v>
          </cell>
          <cell r="D153">
            <v>0.67928410137535544</v>
          </cell>
          <cell r="E153">
            <v>0.57430000000000003</v>
          </cell>
          <cell r="F153">
            <v>0</v>
          </cell>
        </row>
        <row r="154">
          <cell r="A154" t="str">
            <v>Esmeralda</v>
          </cell>
          <cell r="B154">
            <v>0.79000908349365639</v>
          </cell>
          <cell r="C154" t="str">
            <v>CAMPOS DE CIMA DA SERRA</v>
          </cell>
          <cell r="D154">
            <v>0.72496322746909969</v>
          </cell>
          <cell r="E154">
            <v>0.37440000000000001</v>
          </cell>
          <cell r="F154">
            <v>9</v>
          </cell>
        </row>
        <row r="155">
          <cell r="A155" t="str">
            <v>Esperança do Sul</v>
          </cell>
          <cell r="B155">
            <v>0.61292666766549009</v>
          </cell>
          <cell r="C155" t="str">
            <v>CELEIRO</v>
          </cell>
          <cell r="D155">
            <v>0.67867533380807732</v>
          </cell>
          <cell r="E155">
            <v>0.68989999999999996</v>
          </cell>
          <cell r="F155">
            <v>4</v>
          </cell>
        </row>
        <row r="156">
          <cell r="A156" t="str">
            <v>Espumoso</v>
          </cell>
          <cell r="B156">
            <v>0.78730472274225138</v>
          </cell>
          <cell r="C156" t="str">
            <v>ALTO DA SERRA DO BOTUCARAÍ</v>
          </cell>
          <cell r="D156">
            <v>0.67356568186234722</v>
          </cell>
          <cell r="E156">
            <v>0.42170000000000002</v>
          </cell>
          <cell r="F156">
            <v>0</v>
          </cell>
        </row>
        <row r="157">
          <cell r="A157" t="str">
            <v>Estação</v>
          </cell>
          <cell r="B157">
            <v>0.75705048434213074</v>
          </cell>
          <cell r="C157" t="str">
            <v>NORTE</v>
          </cell>
          <cell r="D157">
            <v>0.7765417184743687</v>
          </cell>
          <cell r="E157">
            <v>0.3755</v>
          </cell>
          <cell r="F157">
            <v>0</v>
          </cell>
        </row>
        <row r="158">
          <cell r="A158" t="str">
            <v>Estância Velha</v>
          </cell>
          <cell r="B158">
            <v>0.71919074374729153</v>
          </cell>
          <cell r="C158" t="str">
            <v>VALE DO RIO DOS SINOS</v>
          </cell>
          <cell r="D158">
            <v>0.72562565243362109</v>
          </cell>
          <cell r="E158">
            <v>0.373</v>
          </cell>
          <cell r="F158">
            <v>0</v>
          </cell>
        </row>
        <row r="159">
          <cell r="A159" t="str">
            <v>Esteio</v>
          </cell>
          <cell r="B159">
            <v>0.7666779713614259</v>
          </cell>
          <cell r="C159" t="str">
            <v>VALE DO RIO DOS SINOS</v>
          </cell>
          <cell r="D159">
            <v>0.72562565243362109</v>
          </cell>
          <cell r="E159">
            <v>0.32900000000000001</v>
          </cell>
          <cell r="F159">
            <v>0</v>
          </cell>
        </row>
        <row r="160">
          <cell r="A160" t="str">
            <v>Estrela</v>
          </cell>
          <cell r="B160">
            <v>0.78462279955698344</v>
          </cell>
          <cell r="C160" t="str">
            <v>VALE DO TAQUARI</v>
          </cell>
          <cell r="D160">
            <v>0.75064951742439223</v>
          </cell>
          <cell r="E160">
            <v>0.31540000000000001</v>
          </cell>
          <cell r="F160">
            <v>0</v>
          </cell>
        </row>
        <row r="161">
          <cell r="A161" t="str">
            <v>Estrela Velha</v>
          </cell>
          <cell r="B161">
            <v>0.74145966633123828</v>
          </cell>
          <cell r="C161" t="str">
            <v>VALE DO RIO PARDO</v>
          </cell>
          <cell r="D161">
            <v>0.74524357951881126</v>
          </cell>
          <cell r="E161">
            <v>0.4491</v>
          </cell>
          <cell r="F161">
            <v>1</v>
          </cell>
        </row>
        <row r="162">
          <cell r="A162" t="str">
            <v>Eugênio de Castro</v>
          </cell>
          <cell r="B162">
            <v>0.81655243220863649</v>
          </cell>
          <cell r="C162" t="str">
            <v>MISSÕES</v>
          </cell>
          <cell r="D162">
            <v>0.70911796647033065</v>
          </cell>
          <cell r="E162">
            <v>0.43380000000000002</v>
          </cell>
          <cell r="F162">
            <v>1</v>
          </cell>
        </row>
        <row r="163">
          <cell r="A163" t="str">
            <v>Fagundes Varela</v>
          </cell>
          <cell r="B163">
            <v>0.72268383283027537</v>
          </cell>
          <cell r="C163" t="str">
            <v>SERRA</v>
          </cell>
          <cell r="D163">
            <v>0.81824158171645489</v>
          </cell>
          <cell r="E163">
            <v>0.3584</v>
          </cell>
          <cell r="F163">
            <v>0</v>
          </cell>
        </row>
        <row r="164">
          <cell r="A164" t="str">
            <v>Farroupilha</v>
          </cell>
          <cell r="B164">
            <v>0.80368021235241238</v>
          </cell>
          <cell r="C164" t="str">
            <v>SERRA</v>
          </cell>
          <cell r="D164">
            <v>0.81824158171645489</v>
          </cell>
          <cell r="E164">
            <v>0.22439999999999999</v>
          </cell>
          <cell r="F164">
            <v>0</v>
          </cell>
        </row>
        <row r="165">
          <cell r="A165" t="str">
            <v>Faxinal do Soturno</v>
          </cell>
          <cell r="B165">
            <v>0.68041044489781588</v>
          </cell>
          <cell r="C165" t="str">
            <v>CENTRAL</v>
          </cell>
          <cell r="D165">
            <v>0.70246145903597013</v>
          </cell>
          <cell r="E165">
            <v>0.54069999999999996</v>
          </cell>
          <cell r="F165" t="str">
            <v>2; 6</v>
          </cell>
        </row>
        <row r="166">
          <cell r="A166" t="str">
            <v>Faxinalzinho</v>
          </cell>
          <cell r="B166">
            <v>0.64207061140969435</v>
          </cell>
          <cell r="C166" t="str">
            <v>NORTE</v>
          </cell>
          <cell r="D166">
            <v>0.7765417184743687</v>
          </cell>
          <cell r="E166">
            <v>0.55879999999999996</v>
          </cell>
          <cell r="F166">
            <v>0</v>
          </cell>
        </row>
        <row r="167">
          <cell r="A167" t="str">
            <v>Fazenda Vilanova</v>
          </cell>
          <cell r="B167">
            <v>0.68530915868286668</v>
          </cell>
          <cell r="C167" t="str">
            <v>VALE DO TAQUARI</v>
          </cell>
          <cell r="D167">
            <v>0.75064951742439223</v>
          </cell>
          <cell r="E167">
            <v>0.42320000000000002</v>
          </cell>
          <cell r="F167">
            <v>0</v>
          </cell>
        </row>
        <row r="168">
          <cell r="A168" t="str">
            <v>Feliz</v>
          </cell>
          <cell r="B168">
            <v>0.71560109695102403</v>
          </cell>
          <cell r="C168" t="str">
            <v>VALE DO CAÍ</v>
          </cell>
          <cell r="D168">
            <v>0.7467472529579271</v>
          </cell>
          <cell r="E168">
            <v>0.37859999999999999</v>
          </cell>
          <cell r="F168">
            <v>4</v>
          </cell>
        </row>
        <row r="169">
          <cell r="A169" t="str">
            <v>Flores da Cunha</v>
          </cell>
          <cell r="B169">
            <v>0.81141198508969214</v>
          </cell>
          <cell r="C169" t="str">
            <v>SERRA</v>
          </cell>
          <cell r="D169">
            <v>0.81824158171645489</v>
          </cell>
          <cell r="E169">
            <v>0.20760000000000001</v>
          </cell>
          <cell r="F169">
            <v>3</v>
          </cell>
        </row>
        <row r="170">
          <cell r="A170" t="str">
            <v>Floriano Peixoto</v>
          </cell>
          <cell r="B170">
            <v>0.68577749775434804</v>
          </cell>
          <cell r="C170" t="str">
            <v>NORTE</v>
          </cell>
          <cell r="D170">
            <v>0.7765417184743687</v>
          </cell>
          <cell r="E170">
            <v>0.4783</v>
          </cell>
          <cell r="F170">
            <v>0</v>
          </cell>
        </row>
        <row r="171">
          <cell r="A171" t="str">
            <v>Fontoura Xavier</v>
          </cell>
          <cell r="B171">
            <v>0.5736126904112121</v>
          </cell>
          <cell r="C171" t="str">
            <v>ALTO DA SERRA DO BOTUCARAÍ</v>
          </cell>
          <cell r="D171">
            <v>0.67356568186234722</v>
          </cell>
          <cell r="E171">
            <v>0.62549999999999994</v>
          </cell>
          <cell r="F171">
            <v>0</v>
          </cell>
        </row>
        <row r="172">
          <cell r="A172" t="str">
            <v>Formigueiro</v>
          </cell>
          <cell r="B172">
            <v>0.6520912400515142</v>
          </cell>
          <cell r="C172" t="str">
            <v>CENTRAL</v>
          </cell>
          <cell r="D172">
            <v>0.70246145903597013</v>
          </cell>
          <cell r="E172">
            <v>0.57130000000000003</v>
          </cell>
          <cell r="F172">
            <v>4</v>
          </cell>
        </row>
        <row r="173">
          <cell r="A173" t="str">
            <v>Forquetinha</v>
          </cell>
          <cell r="B173">
            <v>0.6104609351749013</v>
          </cell>
          <cell r="C173" t="str">
            <v>VALE DO TAQUARI</v>
          </cell>
          <cell r="D173">
            <v>0.75064951742439223</v>
          </cell>
          <cell r="E173">
            <v>0.52959999999999996</v>
          </cell>
          <cell r="F173" t="str">
            <v>7; 10</v>
          </cell>
        </row>
        <row r="174">
          <cell r="A174" t="str">
            <v>Fortaleza dos Valos</v>
          </cell>
          <cell r="B174">
            <v>0.84568811177774383</v>
          </cell>
          <cell r="C174" t="str">
            <v>ALTO JACUÍ</v>
          </cell>
          <cell r="D174">
            <v>0.80731012575366412</v>
          </cell>
          <cell r="E174">
            <v>0.311</v>
          </cell>
          <cell r="F174">
            <v>0</v>
          </cell>
        </row>
        <row r="175">
          <cell r="A175" t="str">
            <v>Frederico Westphalen</v>
          </cell>
          <cell r="B175">
            <v>0.73229096853092446</v>
          </cell>
          <cell r="C175" t="str">
            <v>MÉDIO ALTO URUGUAI</v>
          </cell>
          <cell r="D175">
            <v>0.67928410137535544</v>
          </cell>
          <cell r="E175">
            <v>0.52490000000000003</v>
          </cell>
          <cell r="F175">
            <v>0</v>
          </cell>
        </row>
        <row r="176">
          <cell r="A176" t="str">
            <v>Garibaldi</v>
          </cell>
          <cell r="B176">
            <v>0.84441431729076655</v>
          </cell>
          <cell r="C176" t="str">
            <v>SERRA</v>
          </cell>
          <cell r="D176">
            <v>0.81824158171645489</v>
          </cell>
          <cell r="E176">
            <v>0.17780000000000001</v>
          </cell>
          <cell r="F176">
            <v>0</v>
          </cell>
        </row>
        <row r="177">
          <cell r="A177" t="str">
            <v>Garruchos</v>
          </cell>
          <cell r="B177">
            <v>0.71590953262675217</v>
          </cell>
          <cell r="C177" t="str">
            <v>MISSÕES</v>
          </cell>
          <cell r="D177">
            <v>0.70911796647033065</v>
          </cell>
          <cell r="E177">
            <v>0.6169</v>
          </cell>
          <cell r="F177">
            <v>0</v>
          </cell>
        </row>
        <row r="178">
          <cell r="A178" t="str">
            <v>Gaurama</v>
          </cell>
          <cell r="B178">
            <v>0.72952770495517494</v>
          </cell>
          <cell r="C178" t="str">
            <v>NORTE</v>
          </cell>
          <cell r="D178">
            <v>0.7765417184743687</v>
          </cell>
          <cell r="E178">
            <v>0.41970000000000002</v>
          </cell>
          <cell r="F178">
            <v>0</v>
          </cell>
        </row>
        <row r="179">
          <cell r="A179" t="str">
            <v>General Câmara</v>
          </cell>
          <cell r="B179">
            <v>0.59064933914829743</v>
          </cell>
          <cell r="C179" t="str">
            <v>VALE DO RIO PARDO</v>
          </cell>
          <cell r="D179">
            <v>0.74524357951881126</v>
          </cell>
          <cell r="E179">
            <v>0.54049999999999998</v>
          </cell>
          <cell r="F179">
            <v>5</v>
          </cell>
        </row>
        <row r="180">
          <cell r="A180" t="str">
            <v>Gentil</v>
          </cell>
          <cell r="B180">
            <v>0.8119599312698309</v>
          </cell>
          <cell r="C180" t="str">
            <v>PRODUÇÃO</v>
          </cell>
          <cell r="D180">
            <v>0.77643264233807863</v>
          </cell>
          <cell r="E180">
            <v>0.3221</v>
          </cell>
          <cell r="F180">
            <v>5</v>
          </cell>
        </row>
        <row r="181">
          <cell r="A181" t="str">
            <v>Getúlio Vargas</v>
          </cell>
          <cell r="B181">
            <v>0.7121759889276229</v>
          </cell>
          <cell r="C181" t="str">
            <v>NORTE</v>
          </cell>
          <cell r="D181">
            <v>0.7765417184743687</v>
          </cell>
          <cell r="E181">
            <v>0.43930000000000002</v>
          </cell>
          <cell r="F181">
            <v>0</v>
          </cell>
        </row>
        <row r="182">
          <cell r="A182" t="str">
            <v>Giruá</v>
          </cell>
          <cell r="B182">
            <v>0.75180503272025745</v>
          </cell>
          <cell r="C182" t="str">
            <v>MISSÕES</v>
          </cell>
          <cell r="D182">
            <v>0.70911796647033065</v>
          </cell>
          <cell r="E182">
            <v>0.51559999999999995</v>
          </cell>
          <cell r="F182">
            <v>0</v>
          </cell>
        </row>
        <row r="183">
          <cell r="A183" t="str">
            <v>Glorinha</v>
          </cell>
          <cell r="B183">
            <v>0.79770038798129383</v>
          </cell>
          <cell r="C183" t="str">
            <v>METROPOLITANO DO DELTA DO JACUÍ</v>
          </cell>
          <cell r="D183">
            <v>0.77260399691033332</v>
          </cell>
          <cell r="E183">
            <v>0.24729999999999999</v>
          </cell>
          <cell r="F183">
            <v>0</v>
          </cell>
        </row>
        <row r="184">
          <cell r="A184" t="str">
            <v>Gramado</v>
          </cell>
          <cell r="B184">
            <v>0.81740243307933613</v>
          </cell>
          <cell r="C184" t="str">
            <v>HORTÊNSIAS</v>
          </cell>
          <cell r="D184">
            <v>0.72048239443520068</v>
          </cell>
          <cell r="E184">
            <v>0.29120000000000001</v>
          </cell>
          <cell r="F184">
            <v>0</v>
          </cell>
        </row>
        <row r="185">
          <cell r="A185" t="str">
            <v>Gramado dos Loureiros</v>
          </cell>
          <cell r="B185">
            <v>0.65213532433141019</v>
          </cell>
          <cell r="C185" t="str">
            <v>MÉDIO ALTO URUGUAI</v>
          </cell>
          <cell r="D185">
            <v>0.67928410137535544</v>
          </cell>
          <cell r="E185">
            <v>0.60880000000000001</v>
          </cell>
          <cell r="F185">
            <v>3</v>
          </cell>
        </row>
        <row r="186">
          <cell r="A186" t="str">
            <v>Gramado Xavier</v>
          </cell>
          <cell r="B186">
            <v>0.60380775469847059</v>
          </cell>
          <cell r="C186" t="str">
            <v>ALTO DA SERRA DO BOTUCARAÍ</v>
          </cell>
          <cell r="D186">
            <v>0.67356568186234722</v>
          </cell>
          <cell r="E186">
            <v>0.60589999999999999</v>
          </cell>
          <cell r="F186">
            <v>0</v>
          </cell>
        </row>
        <row r="187">
          <cell r="A187" t="str">
            <v>Gravataí</v>
          </cell>
          <cell r="B187">
            <v>0.75050007191521895</v>
          </cell>
          <cell r="C187" t="str">
            <v>METROPOLITANO DO DELTA DO JACUÍ</v>
          </cell>
          <cell r="D187">
            <v>0.77260399691033332</v>
          </cell>
          <cell r="E187">
            <v>0.29580000000000001</v>
          </cell>
          <cell r="F187">
            <v>9</v>
          </cell>
        </row>
        <row r="188">
          <cell r="A188" t="str">
            <v>Guabiju</v>
          </cell>
          <cell r="B188">
            <v>0.79169932087592076</v>
          </cell>
          <cell r="C188" t="str">
            <v>SERRA</v>
          </cell>
          <cell r="D188">
            <v>0.81824158171645489</v>
          </cell>
          <cell r="E188">
            <v>0.30649999999999999</v>
          </cell>
          <cell r="F188">
            <v>0</v>
          </cell>
        </row>
        <row r="189">
          <cell r="A189" t="str">
            <v>Guaíba</v>
          </cell>
          <cell r="B189">
            <v>0.79845228325037132</v>
          </cell>
          <cell r="C189" t="str">
            <v>METROPOLITANO DO DELTA DO JACUÍ</v>
          </cell>
          <cell r="D189">
            <v>0.77260399691033332</v>
          </cell>
          <cell r="E189">
            <v>0.25469999999999998</v>
          </cell>
          <cell r="F189">
            <v>0</v>
          </cell>
        </row>
        <row r="190">
          <cell r="A190" t="str">
            <v>Guaporé</v>
          </cell>
          <cell r="B190">
            <v>0.73748991898074845</v>
          </cell>
          <cell r="C190" t="str">
            <v>SERRA</v>
          </cell>
          <cell r="D190">
            <v>0.81824158171645489</v>
          </cell>
          <cell r="E190">
            <v>0.32590000000000002</v>
          </cell>
          <cell r="F190">
            <v>0</v>
          </cell>
        </row>
        <row r="191">
          <cell r="A191" t="str">
            <v>Guarani das Missões</v>
          </cell>
          <cell r="B191">
            <v>0.72449414871089202</v>
          </cell>
          <cell r="C191" t="str">
            <v>MISSÕES</v>
          </cell>
          <cell r="D191">
            <v>0.70911796647033065</v>
          </cell>
          <cell r="E191">
            <v>0.53500000000000003</v>
          </cell>
          <cell r="F191">
            <v>9</v>
          </cell>
        </row>
        <row r="192">
          <cell r="A192" t="str">
            <v>Harmonia</v>
          </cell>
          <cell r="B192">
            <v>0.71497501675036912</v>
          </cell>
          <cell r="C192" t="str">
            <v>VALE DO CAÍ</v>
          </cell>
          <cell r="D192">
            <v>0.7467472529579271</v>
          </cell>
          <cell r="E192">
            <v>0.38340000000000002</v>
          </cell>
          <cell r="F192">
            <v>0</v>
          </cell>
        </row>
        <row r="193">
          <cell r="A193" t="str">
            <v>Herval</v>
          </cell>
          <cell r="B193">
            <v>0.55869649185767378</v>
          </cell>
          <cell r="C193" t="str">
            <v>SUL</v>
          </cell>
          <cell r="D193">
            <v>0.65661703497098345</v>
          </cell>
          <cell r="E193">
            <v>0.74119999999999997</v>
          </cell>
          <cell r="F193">
            <v>0</v>
          </cell>
        </row>
        <row r="194">
          <cell r="A194" t="str">
            <v>Herveiras</v>
          </cell>
          <cell r="B194">
            <v>0.60623432170358194</v>
          </cell>
          <cell r="C194" t="str">
            <v>VALE DO RIO PARDO</v>
          </cell>
          <cell r="D194">
            <v>0.74524357951881126</v>
          </cell>
          <cell r="E194">
            <v>0.56869999999999998</v>
          </cell>
          <cell r="F194">
            <v>4</v>
          </cell>
        </row>
        <row r="195">
          <cell r="A195" t="str">
            <v>Horizontina</v>
          </cell>
          <cell r="B195">
            <v>0.90134850611777528</v>
          </cell>
          <cell r="C195" t="str">
            <v>FRONTEIRA NOROESTE</v>
          </cell>
          <cell r="D195">
            <v>0.76178573110532932</v>
          </cell>
          <cell r="E195">
            <v>0.29580000000000001</v>
          </cell>
          <cell r="F195">
            <v>0</v>
          </cell>
        </row>
        <row r="196">
          <cell r="A196" t="str">
            <v>Hulha Negra</v>
          </cell>
          <cell r="B196">
            <v>0.65107608671091943</v>
          </cell>
          <cell r="C196" t="str">
            <v>CAMPANHA</v>
          </cell>
          <cell r="D196">
            <v>0.65815289147615053</v>
          </cell>
          <cell r="E196">
            <v>0.61219999999999997</v>
          </cell>
          <cell r="F196">
            <v>0</v>
          </cell>
        </row>
        <row r="197">
          <cell r="A197" t="str">
            <v>Humaitá</v>
          </cell>
          <cell r="B197">
            <v>0.71252228225102909</v>
          </cell>
          <cell r="C197" t="str">
            <v>CELEIRO</v>
          </cell>
          <cell r="D197">
            <v>0.67867533380807732</v>
          </cell>
          <cell r="E197">
            <v>0.57650000000000001</v>
          </cell>
          <cell r="F197">
            <v>0</v>
          </cell>
        </row>
        <row r="198">
          <cell r="A198" t="str">
            <v>Ibarama</v>
          </cell>
          <cell r="B198">
            <v>0.61274961013946827</v>
          </cell>
          <cell r="C198" t="str">
            <v>VALE DO RIO PARDO</v>
          </cell>
          <cell r="D198">
            <v>0.74524357951881126</v>
          </cell>
          <cell r="E198">
            <v>0.58050000000000002</v>
          </cell>
          <cell r="F198">
            <v>0</v>
          </cell>
        </row>
        <row r="199">
          <cell r="A199" t="str">
            <v>Ibiaçá</v>
          </cell>
          <cell r="B199">
            <v>0.769172322807679</v>
          </cell>
          <cell r="C199" t="str">
            <v>NORDESTE</v>
          </cell>
          <cell r="D199">
            <v>0.73065139408555813</v>
          </cell>
          <cell r="E199">
            <v>0.3992</v>
          </cell>
          <cell r="F199">
            <v>0</v>
          </cell>
        </row>
        <row r="200">
          <cell r="A200" t="str">
            <v>Ibiraiaras</v>
          </cell>
          <cell r="B200">
            <v>0.69224448122917126</v>
          </cell>
          <cell r="C200" t="str">
            <v>NORDESTE</v>
          </cell>
          <cell r="D200">
            <v>0.73065139408555813</v>
          </cell>
          <cell r="E200">
            <v>0.46250000000000002</v>
          </cell>
          <cell r="F200">
            <v>0</v>
          </cell>
        </row>
        <row r="201">
          <cell r="A201" t="str">
            <v>Ibirapuitã</v>
          </cell>
          <cell r="B201">
            <v>0.65669484410771028</v>
          </cell>
          <cell r="C201" t="str">
            <v>ALTO DA SERRA DO BOTUCARAÍ</v>
          </cell>
          <cell r="D201">
            <v>0.67356568186234722</v>
          </cell>
          <cell r="E201">
            <v>0.55410000000000004</v>
          </cell>
          <cell r="F201">
            <v>0</v>
          </cell>
        </row>
        <row r="202">
          <cell r="A202" t="str">
            <v>Ibirubá</v>
          </cell>
          <cell r="B202">
            <v>0.82919380284241506</v>
          </cell>
          <cell r="C202" t="str">
            <v>ALTO JACUÍ</v>
          </cell>
          <cell r="D202">
            <v>0.80731012575366412</v>
          </cell>
          <cell r="E202">
            <v>0.316</v>
          </cell>
          <cell r="F202">
            <v>5</v>
          </cell>
        </row>
        <row r="203">
          <cell r="A203" t="str">
            <v>Igrejinha</v>
          </cell>
          <cell r="B203">
            <v>0.78695057797559531</v>
          </cell>
          <cell r="C203" t="str">
            <v>PARANHANA ENCOSTA DA SERRA</v>
          </cell>
          <cell r="D203">
            <v>0.69507419923082692</v>
          </cell>
          <cell r="E203">
            <v>0.30809999999999998</v>
          </cell>
          <cell r="F203">
            <v>0</v>
          </cell>
        </row>
        <row r="204">
          <cell r="A204" t="str">
            <v>Ijuí</v>
          </cell>
          <cell r="B204">
            <v>0.76503295397218785</v>
          </cell>
          <cell r="C204" t="str">
            <v>NOROESTE COLONIAL</v>
          </cell>
          <cell r="D204">
            <v>0.78210389473788644</v>
          </cell>
          <cell r="E204">
            <v>0.43020000000000003</v>
          </cell>
          <cell r="F204">
            <v>4</v>
          </cell>
        </row>
        <row r="205">
          <cell r="A205" t="str">
            <v>Ilópolis</v>
          </cell>
          <cell r="B205">
            <v>0.72058180595194754</v>
          </cell>
          <cell r="C205" t="str">
            <v>VALE DO TAQUARI</v>
          </cell>
          <cell r="D205">
            <v>0.75064951742439223</v>
          </cell>
          <cell r="E205">
            <v>0.41570000000000001</v>
          </cell>
          <cell r="F205">
            <v>0</v>
          </cell>
        </row>
        <row r="206">
          <cell r="A206" t="str">
            <v>Imbé</v>
          </cell>
          <cell r="B206">
            <v>0.62698913161564174</v>
          </cell>
          <cell r="C206" t="str">
            <v>LITORAL</v>
          </cell>
          <cell r="D206">
            <v>0.65197632440885878</v>
          </cell>
          <cell r="E206">
            <v>0.57099999999999995</v>
          </cell>
          <cell r="F206">
            <v>0</v>
          </cell>
        </row>
        <row r="207">
          <cell r="A207" t="str">
            <v>Imigrante</v>
          </cell>
          <cell r="B207">
            <v>0.86804219877531752</v>
          </cell>
          <cell r="C207" t="str">
            <v>VALE DO TAQUARI</v>
          </cell>
          <cell r="D207">
            <v>0.75064951742439223</v>
          </cell>
          <cell r="E207">
            <v>0.1976</v>
          </cell>
          <cell r="F207">
            <v>0</v>
          </cell>
        </row>
        <row r="208">
          <cell r="A208" t="str">
            <v>Independência</v>
          </cell>
          <cell r="B208">
            <v>0.70509489805469205</v>
          </cell>
          <cell r="C208" t="str">
            <v>FRONTEIRA NOROESTE</v>
          </cell>
          <cell r="D208">
            <v>0.76178573110532932</v>
          </cell>
          <cell r="E208">
            <v>0.53990000000000005</v>
          </cell>
          <cell r="F208">
            <v>0</v>
          </cell>
        </row>
        <row r="209">
          <cell r="A209" t="str">
            <v>Inhacorá</v>
          </cell>
          <cell r="B209">
            <v>0.64885032916618846</v>
          </cell>
          <cell r="C209" t="str">
            <v>CELEIRO</v>
          </cell>
          <cell r="D209">
            <v>0.67867533380807732</v>
          </cell>
          <cell r="E209">
            <v>0.63970000000000005</v>
          </cell>
          <cell r="F209">
            <v>0</v>
          </cell>
        </row>
        <row r="210">
          <cell r="A210" t="str">
            <v>Ipê</v>
          </cell>
          <cell r="B210">
            <v>0.71767924413936601</v>
          </cell>
          <cell r="C210" t="str">
            <v>CAMPOS DE CIMA DA SERRA</v>
          </cell>
          <cell r="D210">
            <v>0.72496322746909969</v>
          </cell>
          <cell r="E210">
            <v>0.40849999999999997</v>
          </cell>
          <cell r="F210">
            <v>0</v>
          </cell>
        </row>
        <row r="211">
          <cell r="A211" t="str">
            <v>Ipiranga do Sul</v>
          </cell>
          <cell r="B211">
            <v>0.8130977692560617</v>
          </cell>
          <cell r="C211" t="str">
            <v>NORTE</v>
          </cell>
          <cell r="D211">
            <v>0.7765417184743687</v>
          </cell>
          <cell r="E211">
            <v>0.3478</v>
          </cell>
          <cell r="F211" t="str">
            <v>7; 10; 11</v>
          </cell>
        </row>
        <row r="212">
          <cell r="A212" t="str">
            <v>Iraí</v>
          </cell>
          <cell r="B212">
            <v>0.62896895239518358</v>
          </cell>
          <cell r="C212" t="str">
            <v>MÉDIO ALTO URUGUAI</v>
          </cell>
          <cell r="D212">
            <v>0.67928410137535544</v>
          </cell>
          <cell r="E212">
            <v>0.64839999999999998</v>
          </cell>
          <cell r="F212">
            <v>0</v>
          </cell>
        </row>
        <row r="213">
          <cell r="A213" t="str">
            <v>Itaara</v>
          </cell>
          <cell r="B213">
            <v>0.61538842728083032</v>
          </cell>
          <cell r="C213" t="str">
            <v>CENTRAL</v>
          </cell>
          <cell r="D213">
            <v>0.70246145903597013</v>
          </cell>
          <cell r="E213">
            <v>0.61550000000000005</v>
          </cell>
          <cell r="F213">
            <v>9</v>
          </cell>
        </row>
        <row r="214">
          <cell r="A214" t="str">
            <v>Itacurubi</v>
          </cell>
          <cell r="B214">
            <v>0.64255517330387868</v>
          </cell>
          <cell r="C214" t="str">
            <v>FRONTEIRA OESTE</v>
          </cell>
          <cell r="D214">
            <v>0.65191476396461001</v>
          </cell>
          <cell r="E214">
            <v>0.70199999999999996</v>
          </cell>
          <cell r="F214">
            <v>0</v>
          </cell>
        </row>
        <row r="215">
          <cell r="A215" t="str">
            <v>Itapuca</v>
          </cell>
          <cell r="B215">
            <v>0.64142712573027394</v>
          </cell>
          <cell r="C215" t="str">
            <v>ALTO DA SERRA DO BOTUCARAÍ</v>
          </cell>
          <cell r="D215">
            <v>0.67356568186234722</v>
          </cell>
          <cell r="E215">
            <v>0.55220000000000002</v>
          </cell>
          <cell r="F215">
            <v>0</v>
          </cell>
        </row>
        <row r="216">
          <cell r="A216" t="str">
            <v>Itaqui</v>
          </cell>
          <cell r="B216">
            <v>0.70225051832615137</v>
          </cell>
          <cell r="C216" t="str">
            <v>FRONTEIRA OESTE</v>
          </cell>
          <cell r="D216">
            <v>0.65191476396461001</v>
          </cell>
          <cell r="E216">
            <v>0.68110000000000004</v>
          </cell>
          <cell r="F216">
            <v>0</v>
          </cell>
        </row>
        <row r="217">
          <cell r="A217" t="str">
            <v>Itati</v>
          </cell>
          <cell r="B217">
            <v>0.67102351549957961</v>
          </cell>
          <cell r="C217" t="str">
            <v>LITORAL</v>
          </cell>
          <cell r="D217">
            <v>0.65197632440885878</v>
          </cell>
          <cell r="E217">
            <v>0.5302</v>
          </cell>
          <cell r="F217">
            <v>3</v>
          </cell>
        </row>
        <row r="218">
          <cell r="A218" t="str">
            <v>Itatiba do Sul</v>
          </cell>
          <cell r="B218">
            <v>0.60247138254666099</v>
          </cell>
          <cell r="C218" t="str">
            <v>NORTE</v>
          </cell>
          <cell r="D218">
            <v>0.7765417184743687</v>
          </cell>
          <cell r="E218">
            <v>0.59650000000000003</v>
          </cell>
          <cell r="F218">
            <v>0</v>
          </cell>
        </row>
        <row r="219">
          <cell r="A219" t="str">
            <v>Ivorá</v>
          </cell>
          <cell r="B219">
            <v>0.67432651743579486</v>
          </cell>
          <cell r="C219" t="str">
            <v>CENTRAL</v>
          </cell>
          <cell r="D219">
            <v>0.70246145903597013</v>
          </cell>
          <cell r="E219">
            <v>0.56269999999999998</v>
          </cell>
          <cell r="F219">
            <v>0</v>
          </cell>
        </row>
        <row r="220">
          <cell r="A220" t="str">
            <v>Ivoti</v>
          </cell>
          <cell r="B220">
            <v>0.79481121645926112</v>
          </cell>
          <cell r="C220" t="str">
            <v>VALE DO RIO DOS SINOS</v>
          </cell>
          <cell r="D220">
            <v>0.72562565243362109</v>
          </cell>
          <cell r="E220">
            <v>0.29980000000000001</v>
          </cell>
          <cell r="F220">
            <v>3</v>
          </cell>
        </row>
        <row r="221">
          <cell r="A221" t="str">
            <v>Jaboticaba</v>
          </cell>
          <cell r="B221">
            <v>0.63660805086890759</v>
          </cell>
          <cell r="C221" t="str">
            <v>MÉDIO ALTO URUGUAI</v>
          </cell>
          <cell r="D221">
            <v>0.67928410137535544</v>
          </cell>
          <cell r="E221">
            <v>0.60599999999999998</v>
          </cell>
          <cell r="F221">
            <v>3</v>
          </cell>
        </row>
        <row r="222">
          <cell r="A222" t="str">
            <v>Jacuizinho</v>
          </cell>
          <cell r="B222">
            <v>0.71866005859741788</v>
          </cell>
          <cell r="C222" t="str">
            <v>ALTO DA SERRA DO BOTUCARAÍ</v>
          </cell>
          <cell r="D222">
            <v>0.67356568186234722</v>
          </cell>
          <cell r="E222">
            <v>0.50749999999999995</v>
          </cell>
          <cell r="F222">
            <v>1</v>
          </cell>
        </row>
        <row r="223">
          <cell r="A223" t="str">
            <v>Jacutinga</v>
          </cell>
          <cell r="B223">
            <v>0.77021363115569408</v>
          </cell>
          <cell r="C223" t="str">
            <v>NORTE</v>
          </cell>
          <cell r="D223">
            <v>0.7765417184743687</v>
          </cell>
          <cell r="E223">
            <v>0.39219999999999999</v>
          </cell>
          <cell r="F223">
            <v>0</v>
          </cell>
        </row>
        <row r="224">
          <cell r="A224" t="str">
            <v>Jaguarão</v>
          </cell>
          <cell r="B224">
            <v>0.64463010970261103</v>
          </cell>
          <cell r="C224" t="str">
            <v>SUL</v>
          </cell>
          <cell r="D224">
            <v>0.65661703497098345</v>
          </cell>
          <cell r="E224">
            <v>0.66959999999999997</v>
          </cell>
          <cell r="F224">
            <v>0</v>
          </cell>
        </row>
        <row r="225">
          <cell r="A225" t="str">
            <v>Jaguari</v>
          </cell>
          <cell r="B225">
            <v>0.6499501424794234</v>
          </cell>
          <cell r="C225" t="str">
            <v>VALE DO JAGUARÍ</v>
          </cell>
          <cell r="D225">
            <v>0.6654549152476753</v>
          </cell>
          <cell r="E225">
            <v>0.65290000000000004</v>
          </cell>
          <cell r="F225">
            <v>2</v>
          </cell>
        </row>
        <row r="226">
          <cell r="A226" t="str">
            <v>Jaquirana</v>
          </cell>
          <cell r="B226">
            <v>0.54041091590599311</v>
          </cell>
          <cell r="C226" t="str">
            <v>HORTÊNSIAS</v>
          </cell>
          <cell r="D226">
            <v>0.72048239443520068</v>
          </cell>
          <cell r="E226">
            <v>0.61990000000000001</v>
          </cell>
          <cell r="F226">
            <v>2</v>
          </cell>
        </row>
        <row r="227">
          <cell r="A227" t="str">
            <v>Jari</v>
          </cell>
          <cell r="B227">
            <v>0.77283451411444504</v>
          </cell>
          <cell r="C227" t="str">
            <v>CENTRAL</v>
          </cell>
          <cell r="D227">
            <v>0.70246145903597013</v>
          </cell>
          <cell r="E227">
            <v>0.48830000000000001</v>
          </cell>
          <cell r="F227">
            <v>0</v>
          </cell>
        </row>
        <row r="228">
          <cell r="A228" t="str">
            <v>Jóia</v>
          </cell>
          <cell r="B228">
            <v>0.78848762586292231</v>
          </cell>
          <cell r="C228" t="str">
            <v>NOROESTE COLONIAL</v>
          </cell>
          <cell r="D228">
            <v>0.78210389473788644</v>
          </cell>
          <cell r="E228">
            <v>0.42730000000000001</v>
          </cell>
          <cell r="F228">
            <v>11</v>
          </cell>
        </row>
        <row r="229">
          <cell r="A229" t="str">
            <v>Júlio de Castilhos</v>
          </cell>
          <cell r="B229">
            <v>0.80778568846776011</v>
          </cell>
          <cell r="C229" t="str">
            <v>CENTRAL</v>
          </cell>
          <cell r="D229">
            <v>0.70246145903597013</v>
          </cell>
          <cell r="E229">
            <v>0.42399999999999999</v>
          </cell>
          <cell r="F229">
            <v>0</v>
          </cell>
        </row>
        <row r="230">
          <cell r="A230" t="str">
            <v>Lagoa Bonita do Sul</v>
          </cell>
          <cell r="B230">
            <v>0.62270664530545705</v>
          </cell>
          <cell r="C230" t="str">
            <v>VALE DO RIO PARDO</v>
          </cell>
          <cell r="D230">
            <v>0.74524357951881126</v>
          </cell>
          <cell r="E230">
            <v>0.56830000000000003</v>
          </cell>
          <cell r="F230">
            <v>0</v>
          </cell>
        </row>
        <row r="231">
          <cell r="A231" t="str">
            <v>Lagoa dos Três Cantos</v>
          </cell>
          <cell r="B231">
            <v>0.79580406663356706</v>
          </cell>
          <cell r="C231" t="str">
            <v>ALTO JACUÍ</v>
          </cell>
          <cell r="D231">
            <v>0.80731012575366412</v>
          </cell>
          <cell r="E231">
            <v>0.3508</v>
          </cell>
          <cell r="F231">
            <v>0</v>
          </cell>
        </row>
        <row r="232">
          <cell r="A232" t="str">
            <v>Lagoa Vermelha</v>
          </cell>
          <cell r="B232">
            <v>0.73516489140021735</v>
          </cell>
          <cell r="C232" t="str">
            <v>NORDESTE</v>
          </cell>
          <cell r="D232">
            <v>0.73065139408555813</v>
          </cell>
          <cell r="E232">
            <v>0.4042</v>
          </cell>
          <cell r="F232">
            <v>0</v>
          </cell>
        </row>
        <row r="233">
          <cell r="A233" t="str">
            <v>Lagoão</v>
          </cell>
          <cell r="B233">
            <v>0.55868228963068511</v>
          </cell>
          <cell r="C233" t="str">
            <v>ALTO DA SERRA DO BOTUCARAÍ</v>
          </cell>
          <cell r="D233">
            <v>0.67356568186234722</v>
          </cell>
          <cell r="E233">
            <v>0.6633</v>
          </cell>
          <cell r="F233">
            <v>9</v>
          </cell>
        </row>
        <row r="234">
          <cell r="A234" t="str">
            <v>Lajeado</v>
          </cell>
          <cell r="B234">
            <v>0.80059396553508244</v>
          </cell>
          <cell r="C234" t="str">
            <v>VALE DO TAQUARI</v>
          </cell>
          <cell r="D234">
            <v>0.75064951742439223</v>
          </cell>
          <cell r="E234">
            <v>0.30530000000000002</v>
          </cell>
          <cell r="F234">
            <v>0</v>
          </cell>
        </row>
        <row r="235">
          <cell r="A235" t="str">
            <v>Lajeado do Bugre</v>
          </cell>
          <cell r="B235">
            <v>0.58771353780056401</v>
          </cell>
          <cell r="C235" t="str">
            <v>RIO DA VÁRZEA</v>
          </cell>
          <cell r="D235">
            <v>0.72404919405158363</v>
          </cell>
          <cell r="E235">
            <v>0.65259999999999996</v>
          </cell>
          <cell r="F235">
            <v>0</v>
          </cell>
        </row>
        <row r="236">
          <cell r="A236" t="str">
            <v>Lavras do Sul</v>
          </cell>
          <cell r="B236">
            <v>0.67308188804906022</v>
          </cell>
          <cell r="C236" t="str">
            <v>CAMPANHA</v>
          </cell>
          <cell r="D236">
            <v>0.65815289147615053</v>
          </cell>
          <cell r="E236">
            <v>0.60529999999999995</v>
          </cell>
          <cell r="F236">
            <v>0</v>
          </cell>
        </row>
        <row r="237">
          <cell r="A237" t="str">
            <v>Liberato Salzano</v>
          </cell>
          <cell r="B237">
            <v>0.63784472433869288</v>
          </cell>
          <cell r="C237" t="str">
            <v>RIO DA VÁRZEA</v>
          </cell>
          <cell r="D237">
            <v>0.72404919405158363</v>
          </cell>
          <cell r="E237">
            <v>0.59760000000000002</v>
          </cell>
          <cell r="F237">
            <v>0</v>
          </cell>
        </row>
        <row r="238">
          <cell r="A238" t="str">
            <v>Lindolfo Collor</v>
          </cell>
          <cell r="B238">
            <v>0.81120835492841081</v>
          </cell>
          <cell r="C238" t="str">
            <v>PARANHANA ENCOSTA DA SERRA</v>
          </cell>
          <cell r="D238">
            <v>0.69507419923082692</v>
          </cell>
          <cell r="E238">
            <v>0.26319999999999999</v>
          </cell>
          <cell r="F238">
            <v>0</v>
          </cell>
        </row>
        <row r="239">
          <cell r="A239" t="str">
            <v>Linha Nova</v>
          </cell>
          <cell r="B239">
            <v>0.71068603605563396</v>
          </cell>
          <cell r="C239" t="str">
            <v>VALE DO CAÍ</v>
          </cell>
          <cell r="D239">
            <v>0.7467472529579271</v>
          </cell>
          <cell r="E239">
            <v>0.4002</v>
          </cell>
          <cell r="F239">
            <v>0</v>
          </cell>
        </row>
        <row r="240">
          <cell r="A240" t="str">
            <v>Maçambará</v>
          </cell>
          <cell r="B240">
            <v>0.77725773376988339</v>
          </cell>
          <cell r="C240" t="str">
            <v>FRONTEIRA OESTE</v>
          </cell>
          <cell r="D240">
            <v>0.65191476396461001</v>
          </cell>
          <cell r="E240">
            <v>0.59240000000000004</v>
          </cell>
          <cell r="F240">
            <v>4</v>
          </cell>
        </row>
        <row r="241">
          <cell r="A241" t="str">
            <v>Machadinho</v>
          </cell>
          <cell r="B241">
            <v>0.65565801031497073</v>
          </cell>
          <cell r="C241" t="str">
            <v>NORDESTE</v>
          </cell>
          <cell r="D241">
            <v>0.73065139408555813</v>
          </cell>
          <cell r="E241">
            <v>0.53790000000000004</v>
          </cell>
          <cell r="F241">
            <v>0</v>
          </cell>
        </row>
        <row r="242">
          <cell r="A242" t="str">
            <v>Mampituba</v>
          </cell>
          <cell r="B242">
            <v>0.5681550781000172</v>
          </cell>
          <cell r="C242" t="str">
            <v>LITORAL</v>
          </cell>
          <cell r="D242">
            <v>0.65197632440885878</v>
          </cell>
          <cell r="E242">
            <v>0.64580000000000004</v>
          </cell>
          <cell r="F242" t="str">
            <v>7; 10; 11</v>
          </cell>
        </row>
        <row r="243">
          <cell r="A243" t="str">
            <v>Manoel Viana</v>
          </cell>
          <cell r="B243">
            <v>0.68425282499885354</v>
          </cell>
          <cell r="C243" t="str">
            <v>FRONTEIRA OESTE</v>
          </cell>
          <cell r="D243">
            <v>0.65191476396461001</v>
          </cell>
          <cell r="E243">
            <v>0.66320000000000001</v>
          </cell>
          <cell r="F243">
            <v>3</v>
          </cell>
        </row>
        <row r="244">
          <cell r="A244" t="str">
            <v>Maquiné</v>
          </cell>
          <cell r="B244">
            <v>0.57244401436563619</v>
          </cell>
          <cell r="C244" t="str">
            <v>LITORAL</v>
          </cell>
          <cell r="D244">
            <v>0.65197632440885878</v>
          </cell>
          <cell r="E244">
            <v>0.62350000000000005</v>
          </cell>
          <cell r="F244" t="str">
            <v>7; 10; 11</v>
          </cell>
        </row>
        <row r="245">
          <cell r="A245" t="str">
            <v>Maratá</v>
          </cell>
          <cell r="B245">
            <v>0.76612118639501259</v>
          </cell>
          <cell r="C245" t="str">
            <v>VALE DO CAÍ</v>
          </cell>
          <cell r="D245">
            <v>0.7467472529579271</v>
          </cell>
          <cell r="E245">
            <v>0.32229999999999998</v>
          </cell>
          <cell r="F245">
            <v>3</v>
          </cell>
        </row>
        <row r="246">
          <cell r="A246" t="str">
            <v>Marau</v>
          </cell>
          <cell r="B246">
            <v>0.80969582536007034</v>
          </cell>
          <cell r="C246" t="str">
            <v>PRODUÇÃO</v>
          </cell>
          <cell r="D246">
            <v>0.77643264233807863</v>
          </cell>
          <cell r="E246">
            <v>0.28860000000000002</v>
          </cell>
          <cell r="F246">
            <v>0</v>
          </cell>
        </row>
        <row r="247">
          <cell r="A247" t="str">
            <v>Marcelino Ramos</v>
          </cell>
          <cell r="B247">
            <v>0.66011546180416636</v>
          </cell>
          <cell r="C247" t="str">
            <v>NORTE</v>
          </cell>
          <cell r="D247">
            <v>0.7765417184743687</v>
          </cell>
          <cell r="E247">
            <v>0.51439999999999997</v>
          </cell>
          <cell r="F247" t="str">
            <v>7; 10; 11</v>
          </cell>
        </row>
        <row r="248">
          <cell r="A248" t="str">
            <v>Mariana Pimentel</v>
          </cell>
          <cell r="B248">
            <v>0.57180130582841415</v>
          </cell>
          <cell r="C248" t="str">
            <v>CENTRO SUL</v>
          </cell>
          <cell r="D248">
            <v>0.63962091655125897</v>
          </cell>
          <cell r="E248">
            <v>0.61550000000000005</v>
          </cell>
          <cell r="F248">
            <v>0</v>
          </cell>
        </row>
        <row r="249">
          <cell r="A249" t="str">
            <v>Mariano Moro</v>
          </cell>
          <cell r="B249">
            <v>0.66668681003856856</v>
          </cell>
          <cell r="C249" t="str">
            <v>NORTE</v>
          </cell>
          <cell r="D249">
            <v>0.7765417184743687</v>
          </cell>
          <cell r="E249">
            <v>0.52459999999999996</v>
          </cell>
          <cell r="F249">
            <v>0</v>
          </cell>
        </row>
        <row r="250">
          <cell r="A250" t="str">
            <v>Marques de Souza</v>
          </cell>
          <cell r="B250">
            <v>0.61006294187613896</v>
          </cell>
          <cell r="C250" t="str">
            <v>VALE DO TAQUARI</v>
          </cell>
          <cell r="D250">
            <v>0.75064951742439223</v>
          </cell>
          <cell r="E250">
            <v>0.52980000000000005</v>
          </cell>
          <cell r="F250">
            <v>0</v>
          </cell>
        </row>
        <row r="251">
          <cell r="A251" t="str">
            <v>Mata</v>
          </cell>
          <cell r="B251">
            <v>0.6125781616731818</v>
          </cell>
          <cell r="C251" t="str">
            <v>VALE DO JAGUARÍ</v>
          </cell>
          <cell r="D251">
            <v>0.6654549152476753</v>
          </cell>
          <cell r="E251">
            <v>0.67949999999999999</v>
          </cell>
          <cell r="F251" t="str">
            <v>2; 6</v>
          </cell>
        </row>
        <row r="252">
          <cell r="A252" t="str">
            <v>Mato Castelhano</v>
          </cell>
          <cell r="B252">
            <v>0.78831838532717535</v>
          </cell>
          <cell r="C252" t="str">
            <v>PRODUÇÃO</v>
          </cell>
          <cell r="D252">
            <v>0.77643264233807863</v>
          </cell>
          <cell r="E252">
            <v>0.3579</v>
          </cell>
          <cell r="F252">
            <v>1</v>
          </cell>
        </row>
        <row r="253">
          <cell r="A253" t="str">
            <v>Mato Leitão</v>
          </cell>
          <cell r="B253">
            <v>0.73393264236091871</v>
          </cell>
          <cell r="C253" t="str">
            <v>VALE DO RIO PARDO</v>
          </cell>
          <cell r="D253">
            <v>0.74524357951881126</v>
          </cell>
          <cell r="E253">
            <v>0.37169999999999997</v>
          </cell>
          <cell r="F253">
            <v>9</v>
          </cell>
        </row>
        <row r="254">
          <cell r="A254" t="str">
            <v>Mato Queimado</v>
          </cell>
          <cell r="B254">
            <v>0.68436399175879115</v>
          </cell>
          <cell r="C254" t="str">
            <v>MISSÕES</v>
          </cell>
          <cell r="D254">
            <v>0.70911796647033065</v>
          </cell>
          <cell r="E254">
            <v>0.60399999999999998</v>
          </cell>
          <cell r="F254">
            <v>0</v>
          </cell>
        </row>
        <row r="255">
          <cell r="A255" t="str">
            <v>Maximiliano de Almeida</v>
          </cell>
          <cell r="B255">
            <v>0.63596868398320205</v>
          </cell>
          <cell r="C255" t="str">
            <v>NORDESTE</v>
          </cell>
          <cell r="D255">
            <v>0.73065139408555813</v>
          </cell>
          <cell r="E255">
            <v>0.55989999999999995</v>
          </cell>
          <cell r="F255">
            <v>0</v>
          </cell>
        </row>
        <row r="256">
          <cell r="A256" t="str">
            <v>Minas do Leão</v>
          </cell>
          <cell r="B256">
            <v>0.59398671770553824</v>
          </cell>
          <cell r="C256" t="str">
            <v>CENTRO SUL</v>
          </cell>
          <cell r="D256">
            <v>0.63962091655125897</v>
          </cell>
          <cell r="E256">
            <v>0.60309999999999997</v>
          </cell>
          <cell r="F256">
            <v>0</v>
          </cell>
        </row>
        <row r="257">
          <cell r="A257" t="str">
            <v>Miraguaí</v>
          </cell>
          <cell r="B257">
            <v>0.69869989648078834</v>
          </cell>
          <cell r="C257" t="str">
            <v>CELEIRO</v>
          </cell>
          <cell r="D257">
            <v>0.67867533380807732</v>
          </cell>
          <cell r="E257">
            <v>0.55459999999999998</v>
          </cell>
          <cell r="F257">
            <v>0</v>
          </cell>
        </row>
        <row r="258">
          <cell r="A258" t="str">
            <v>Montauri</v>
          </cell>
          <cell r="B258">
            <v>0.75819165162817559</v>
          </cell>
          <cell r="C258" t="str">
            <v>SERRA</v>
          </cell>
          <cell r="D258">
            <v>0.81824158171645489</v>
          </cell>
          <cell r="E258">
            <v>0.34410000000000002</v>
          </cell>
          <cell r="F258">
            <v>0</v>
          </cell>
        </row>
        <row r="259">
          <cell r="A259" t="str">
            <v>Monte Alegre dos Campos</v>
          </cell>
          <cell r="B259">
            <v>0.58062384951413437</v>
          </cell>
          <cell r="C259" t="str">
            <v>CAMPOS DE CIMA DA SERRA</v>
          </cell>
          <cell r="D259">
            <v>0.72496322746909969</v>
          </cell>
          <cell r="E259">
            <v>0.56930000000000003</v>
          </cell>
          <cell r="F259" t="str">
            <v>2; 10; 11</v>
          </cell>
        </row>
        <row r="260">
          <cell r="A260" t="str">
            <v>Monte Belo do Sul</v>
          </cell>
          <cell r="B260">
            <v>0.81143445592693264</v>
          </cell>
          <cell r="C260" t="str">
            <v>SERRA</v>
          </cell>
          <cell r="D260">
            <v>0.81824158171645489</v>
          </cell>
          <cell r="E260">
            <v>0.21879999999999999</v>
          </cell>
          <cell r="F260">
            <v>3</v>
          </cell>
        </row>
        <row r="261">
          <cell r="A261" t="str">
            <v>Montenegro</v>
          </cell>
          <cell r="B261">
            <v>0.7966299821159013</v>
          </cell>
          <cell r="C261" t="str">
            <v>VALE DO CAÍ</v>
          </cell>
          <cell r="D261">
            <v>0.7467472529579271</v>
          </cell>
          <cell r="E261">
            <v>0.2762</v>
          </cell>
          <cell r="F261">
            <v>3</v>
          </cell>
        </row>
        <row r="262">
          <cell r="A262" t="str">
            <v>Mormaço</v>
          </cell>
          <cell r="B262">
            <v>0.71066342217090606</v>
          </cell>
          <cell r="C262" t="str">
            <v>ALTO DA SERRA DO BOTUCARAÍ</v>
          </cell>
          <cell r="D262">
            <v>0.67356568186234722</v>
          </cell>
          <cell r="E262">
            <v>0.50190000000000001</v>
          </cell>
          <cell r="F262">
            <v>0</v>
          </cell>
        </row>
        <row r="263">
          <cell r="A263" t="str">
            <v>Morrinhos do Sul</v>
          </cell>
          <cell r="B263">
            <v>0.62171907743432275</v>
          </cell>
          <cell r="C263" t="str">
            <v>LITORAL</v>
          </cell>
          <cell r="D263">
            <v>0.65197632440885878</v>
          </cell>
          <cell r="E263">
            <v>0.59160000000000001</v>
          </cell>
          <cell r="F263">
            <v>0</v>
          </cell>
        </row>
        <row r="264">
          <cell r="A264" t="str">
            <v>Morro Redondo</v>
          </cell>
          <cell r="B264">
            <v>0.56162706934373396</v>
          </cell>
          <cell r="C264" t="str">
            <v>SUL</v>
          </cell>
          <cell r="D264">
            <v>0.65661703497098345</v>
          </cell>
          <cell r="E264">
            <v>0.68059999999999998</v>
          </cell>
          <cell r="F264">
            <v>0</v>
          </cell>
        </row>
        <row r="265">
          <cell r="A265" t="str">
            <v>Morro Reuter</v>
          </cell>
          <cell r="B265">
            <v>0.69509122799547018</v>
          </cell>
          <cell r="C265" t="str">
            <v>PARANHANA ENCOSTA DA SERRA</v>
          </cell>
          <cell r="D265">
            <v>0.69507419923082692</v>
          </cell>
          <cell r="E265">
            <v>0.4214</v>
          </cell>
          <cell r="F265">
            <v>0</v>
          </cell>
        </row>
        <row r="266">
          <cell r="A266" t="str">
            <v>Mostardas</v>
          </cell>
          <cell r="B266">
            <v>0.68377537047337245</v>
          </cell>
          <cell r="C266" t="str">
            <v>LITORAL</v>
          </cell>
          <cell r="D266">
            <v>0.65197632440885878</v>
          </cell>
          <cell r="E266">
            <v>0.52470000000000006</v>
          </cell>
          <cell r="F266">
            <v>0</v>
          </cell>
        </row>
        <row r="267">
          <cell r="A267" t="str">
            <v>Muçum</v>
          </cell>
          <cell r="B267">
            <v>0.79440460699252813</v>
          </cell>
          <cell r="C267" t="str">
            <v>VALE DO TAQUARI</v>
          </cell>
          <cell r="D267">
            <v>0.75064951742439223</v>
          </cell>
          <cell r="E267">
            <v>0.28079999999999999</v>
          </cell>
          <cell r="F267" t="str">
            <v>7; 10; 11</v>
          </cell>
        </row>
        <row r="268">
          <cell r="A268" t="str">
            <v>Muitos Capões</v>
          </cell>
          <cell r="B268">
            <v>0.87887400450500597</v>
          </cell>
          <cell r="C268" t="str">
            <v>CAMPOS DE CIMA DA SERRA</v>
          </cell>
          <cell r="D268">
            <v>0.72496322746909969</v>
          </cell>
          <cell r="E268">
            <v>0.2676</v>
          </cell>
          <cell r="F268">
            <v>0</v>
          </cell>
        </row>
        <row r="269">
          <cell r="A269" t="str">
            <v>Muliterno</v>
          </cell>
          <cell r="B269">
            <v>0.67514291966557227</v>
          </cell>
          <cell r="C269" t="str">
            <v>PRODUÇÃO</v>
          </cell>
          <cell r="D269">
            <v>0.77643264233807863</v>
          </cell>
          <cell r="E269">
            <v>0.4602</v>
          </cell>
          <cell r="F269">
            <v>0</v>
          </cell>
        </row>
        <row r="270">
          <cell r="A270" t="str">
            <v>Não-Me-Toque</v>
          </cell>
          <cell r="B270">
            <v>0.87189464315679932</v>
          </cell>
          <cell r="C270" t="str">
            <v>ALTO JACUÍ</v>
          </cell>
          <cell r="D270">
            <v>0.80731012575366412</v>
          </cell>
          <cell r="E270">
            <v>0.2384</v>
          </cell>
          <cell r="F270">
            <v>0</v>
          </cell>
        </row>
        <row r="271">
          <cell r="A271" t="str">
            <v>Nicolau Vergueiro</v>
          </cell>
          <cell r="B271">
            <v>0.79700529957314925</v>
          </cell>
          <cell r="C271" t="str">
            <v>ALTO DA SERRA DO BOTUCARAÍ</v>
          </cell>
          <cell r="D271">
            <v>0.67356568186234722</v>
          </cell>
          <cell r="E271">
            <v>0.40610000000000002</v>
          </cell>
          <cell r="F271">
            <v>0</v>
          </cell>
        </row>
        <row r="272">
          <cell r="A272" t="str">
            <v>Nonoai</v>
          </cell>
          <cell r="B272">
            <v>0.68534568357361836</v>
          </cell>
          <cell r="C272" t="str">
            <v>MÉDIO ALTO URUGUAI</v>
          </cell>
          <cell r="D272">
            <v>0.67928410137535544</v>
          </cell>
          <cell r="E272">
            <v>0.56920000000000004</v>
          </cell>
          <cell r="F272">
            <v>11</v>
          </cell>
        </row>
        <row r="273">
          <cell r="A273" t="str">
            <v>Nova Alvorada</v>
          </cell>
          <cell r="B273">
            <v>0.7895735577775771</v>
          </cell>
          <cell r="C273" t="str">
            <v>PRODUÇÃO</v>
          </cell>
          <cell r="D273">
            <v>0.77643264233807863</v>
          </cell>
          <cell r="E273">
            <v>0.34129999999999999</v>
          </cell>
          <cell r="F273">
            <v>0</v>
          </cell>
        </row>
        <row r="274">
          <cell r="A274" t="str">
            <v>Nova Araçá</v>
          </cell>
          <cell r="B274">
            <v>0.84760565541276978</v>
          </cell>
          <cell r="C274" t="str">
            <v>SERRA</v>
          </cell>
          <cell r="D274">
            <v>0.81824158171645489</v>
          </cell>
          <cell r="E274">
            <v>0.1832</v>
          </cell>
          <cell r="F274">
            <v>0</v>
          </cell>
        </row>
        <row r="275">
          <cell r="A275" t="str">
            <v>Nova Bassano</v>
          </cell>
          <cell r="B275">
            <v>0.92254016816754147</v>
          </cell>
          <cell r="C275" t="str">
            <v>SERRA</v>
          </cell>
          <cell r="D275">
            <v>0.81824158171645489</v>
          </cell>
          <cell r="E275">
            <v>0.1</v>
          </cell>
          <cell r="F275">
            <v>0</v>
          </cell>
        </row>
        <row r="276">
          <cell r="A276" t="str">
            <v>Nova Boa Vista</v>
          </cell>
          <cell r="B276">
            <v>0.76961886802283619</v>
          </cell>
          <cell r="C276" t="str">
            <v>PRODUÇÃO</v>
          </cell>
          <cell r="D276">
            <v>0.77643264233807863</v>
          </cell>
          <cell r="E276">
            <v>0.43109999999999998</v>
          </cell>
          <cell r="F276">
            <v>0</v>
          </cell>
        </row>
        <row r="277">
          <cell r="A277" t="str">
            <v>Nova Bréscia</v>
          </cell>
          <cell r="B277">
            <v>0.71523503192812932</v>
          </cell>
          <cell r="C277" t="str">
            <v>VALE DO TAQUARI</v>
          </cell>
          <cell r="D277">
            <v>0.75064951742439223</v>
          </cell>
          <cell r="E277">
            <v>0.41639999999999999</v>
          </cell>
          <cell r="F277">
            <v>0</v>
          </cell>
        </row>
        <row r="278">
          <cell r="A278" t="str">
            <v>Nova Candelária</v>
          </cell>
          <cell r="B278">
            <v>0.78730019453927724</v>
          </cell>
          <cell r="C278" t="str">
            <v>FRONTEIRA NOROESTE</v>
          </cell>
          <cell r="D278">
            <v>0.76178573110532932</v>
          </cell>
          <cell r="E278">
            <v>0.42870000000000003</v>
          </cell>
          <cell r="F278">
            <v>8</v>
          </cell>
        </row>
        <row r="279">
          <cell r="A279" t="str">
            <v>Nova Esperança do Sul</v>
          </cell>
          <cell r="B279">
            <v>0.70800056812429946</v>
          </cell>
          <cell r="C279" t="str">
            <v>VALE DO JAGUARÍ</v>
          </cell>
          <cell r="D279">
            <v>0.6654549152476753</v>
          </cell>
          <cell r="E279">
            <v>0.56789999999999996</v>
          </cell>
          <cell r="F279">
            <v>0</v>
          </cell>
        </row>
        <row r="280">
          <cell r="A280" t="str">
            <v>Nova Hartz</v>
          </cell>
          <cell r="B280">
            <v>0.73543943211288831</v>
          </cell>
          <cell r="C280" t="str">
            <v>VALE DO RIO DOS SINOS</v>
          </cell>
          <cell r="D280">
            <v>0.72562565243362109</v>
          </cell>
          <cell r="E280">
            <v>0.34260000000000002</v>
          </cell>
          <cell r="F280">
            <v>0</v>
          </cell>
        </row>
        <row r="281">
          <cell r="A281" t="str">
            <v>Nova Pádua</v>
          </cell>
          <cell r="B281">
            <v>0.70856791061018987</v>
          </cell>
          <cell r="C281" t="str">
            <v>SERRA</v>
          </cell>
          <cell r="D281">
            <v>0.81824158171645489</v>
          </cell>
          <cell r="E281">
            <v>0.35399999999999998</v>
          </cell>
          <cell r="F281">
            <v>8</v>
          </cell>
        </row>
        <row r="282">
          <cell r="A282" t="str">
            <v>Nova Palma</v>
          </cell>
          <cell r="B282">
            <v>0.7386924370896093</v>
          </cell>
          <cell r="C282" t="str">
            <v>CENTRAL</v>
          </cell>
          <cell r="D282">
            <v>0.70246145903597013</v>
          </cell>
          <cell r="E282">
            <v>0.48309999999999997</v>
          </cell>
          <cell r="F282">
            <v>0</v>
          </cell>
        </row>
        <row r="283">
          <cell r="A283" t="str">
            <v>Nova Petrópolis</v>
          </cell>
          <cell r="B283">
            <v>0.76001448779790071</v>
          </cell>
          <cell r="C283" t="str">
            <v>HORTÊNSIAS</v>
          </cell>
          <cell r="D283">
            <v>0.72048239443520068</v>
          </cell>
          <cell r="E283">
            <v>0.33510000000000001</v>
          </cell>
          <cell r="F283">
            <v>0</v>
          </cell>
        </row>
        <row r="284">
          <cell r="A284" t="str">
            <v>Nova Prata</v>
          </cell>
          <cell r="B284">
            <v>0.78860639029554991</v>
          </cell>
          <cell r="C284" t="str">
            <v>SERRA</v>
          </cell>
          <cell r="D284">
            <v>0.81824158171645489</v>
          </cell>
          <cell r="E284">
            <v>0.25640000000000002</v>
          </cell>
          <cell r="F284">
            <v>0</v>
          </cell>
        </row>
        <row r="285">
          <cell r="A285" t="str">
            <v>Nova Ramada</v>
          </cell>
          <cell r="B285">
            <v>0.7868467181120119</v>
          </cell>
          <cell r="C285" t="str">
            <v>NOROESTE COLONIAL</v>
          </cell>
          <cell r="D285">
            <v>0.78210389473788644</v>
          </cell>
          <cell r="E285">
            <v>0.42120000000000002</v>
          </cell>
          <cell r="F285">
            <v>0</v>
          </cell>
        </row>
        <row r="286">
          <cell r="A286" t="str">
            <v>Nova Roma do Sul</v>
          </cell>
          <cell r="B286">
            <v>0.76357906302116096</v>
          </cell>
          <cell r="C286" t="str">
            <v>SERRA</v>
          </cell>
          <cell r="D286">
            <v>0.81824158171645489</v>
          </cell>
          <cell r="E286">
            <v>0.25590000000000002</v>
          </cell>
          <cell r="F286">
            <v>0</v>
          </cell>
        </row>
        <row r="287">
          <cell r="A287" t="str">
            <v>Nova Santa Rita</v>
          </cell>
          <cell r="B287">
            <v>0.75715160785856261</v>
          </cell>
          <cell r="C287" t="str">
            <v>VALE DO RIO DOS SINOS</v>
          </cell>
          <cell r="D287">
            <v>0.72562565243362109</v>
          </cell>
          <cell r="E287">
            <v>0.33050000000000002</v>
          </cell>
          <cell r="F287">
            <v>0</v>
          </cell>
        </row>
        <row r="288">
          <cell r="A288" t="str">
            <v>Novo Barreiro</v>
          </cell>
          <cell r="B288">
            <v>0.64695465945354402</v>
          </cell>
          <cell r="C288" t="str">
            <v>RIO DA VÁRZEA</v>
          </cell>
          <cell r="D288">
            <v>0.72404919405158363</v>
          </cell>
          <cell r="E288">
            <v>0.57599999999999996</v>
          </cell>
          <cell r="F288" t="str">
            <v>7; 10; 11</v>
          </cell>
        </row>
        <row r="289">
          <cell r="A289" t="str">
            <v>Novo Cabrais</v>
          </cell>
          <cell r="B289">
            <v>0.64242790483435375</v>
          </cell>
          <cell r="C289" t="str">
            <v>JACUÍ CENTRO</v>
          </cell>
          <cell r="D289">
            <v>0.66683067195479895</v>
          </cell>
          <cell r="E289">
            <v>0.58440000000000003</v>
          </cell>
          <cell r="F289">
            <v>0</v>
          </cell>
        </row>
        <row r="290">
          <cell r="A290" t="str">
            <v>Novo Hamburgo</v>
          </cell>
          <cell r="B290">
            <v>0.7252821351674209</v>
          </cell>
          <cell r="C290" t="str">
            <v>VALE DO RIO DOS SINOS</v>
          </cell>
          <cell r="D290">
            <v>0.72562565243362109</v>
          </cell>
          <cell r="E290">
            <v>0.3805</v>
          </cell>
          <cell r="F290">
            <v>0</v>
          </cell>
        </row>
        <row r="291">
          <cell r="A291" t="str">
            <v>Novo Machado</v>
          </cell>
          <cell r="B291">
            <v>0.71220577491130455</v>
          </cell>
          <cell r="C291" t="str">
            <v>FRONTEIRA NOROESTE</v>
          </cell>
          <cell r="D291">
            <v>0.76178573110532932</v>
          </cell>
          <cell r="E291">
            <v>0.55520000000000003</v>
          </cell>
          <cell r="F291">
            <v>0</v>
          </cell>
        </row>
        <row r="292">
          <cell r="A292" t="str">
            <v>Novo Tiradentes</v>
          </cell>
          <cell r="B292">
            <v>0.64845245363005755</v>
          </cell>
          <cell r="C292" t="str">
            <v>MÉDIO ALTO URUGUAI</v>
          </cell>
          <cell r="D292">
            <v>0.67928410137535544</v>
          </cell>
          <cell r="E292">
            <v>0.61750000000000005</v>
          </cell>
          <cell r="F292">
            <v>1</v>
          </cell>
        </row>
        <row r="293">
          <cell r="A293" t="str">
            <v>Novo Xingu</v>
          </cell>
          <cell r="B293">
            <v>0.71700614780652083</v>
          </cell>
          <cell r="C293" t="str">
            <v>RIO DA VÁRZEA</v>
          </cell>
          <cell r="D293">
            <v>0.72404919405158363</v>
          </cell>
          <cell r="E293">
            <v>0.50900000000000001</v>
          </cell>
          <cell r="F293">
            <v>0</v>
          </cell>
        </row>
        <row r="294">
          <cell r="A294" t="str">
            <v>Osório</v>
          </cell>
          <cell r="B294">
            <v>0.71963176192107148</v>
          </cell>
          <cell r="C294" t="str">
            <v>LITORAL</v>
          </cell>
          <cell r="D294">
            <v>0.65197632440885878</v>
          </cell>
          <cell r="E294">
            <v>0.46250000000000002</v>
          </cell>
          <cell r="F294">
            <v>0</v>
          </cell>
        </row>
        <row r="295">
          <cell r="A295" t="str">
            <v>Paim Filho</v>
          </cell>
          <cell r="B295">
            <v>0.67137238851694891</v>
          </cell>
          <cell r="C295" t="str">
            <v>NORDESTE</v>
          </cell>
          <cell r="D295">
            <v>0.73065139408555813</v>
          </cell>
          <cell r="E295">
            <v>0.51649999999999996</v>
          </cell>
          <cell r="F295">
            <v>0</v>
          </cell>
        </row>
        <row r="296">
          <cell r="A296" t="str">
            <v>Palmares do Sul</v>
          </cell>
          <cell r="B296">
            <v>0.71771428748705235</v>
          </cell>
          <cell r="C296" t="str">
            <v>LITORAL</v>
          </cell>
          <cell r="D296">
            <v>0.65197632440885878</v>
          </cell>
          <cell r="E296">
            <v>0.43509999999999999</v>
          </cell>
          <cell r="F296">
            <v>0</v>
          </cell>
        </row>
        <row r="297">
          <cell r="A297" t="str">
            <v>Palmeira das Missões</v>
          </cell>
          <cell r="B297">
            <v>0.74038076572230715</v>
          </cell>
          <cell r="C297" t="str">
            <v>RIO DA VÁRZEA</v>
          </cell>
          <cell r="D297">
            <v>0.72404919405158363</v>
          </cell>
          <cell r="E297">
            <v>0.48270000000000002</v>
          </cell>
          <cell r="F297">
            <v>0</v>
          </cell>
        </row>
        <row r="298">
          <cell r="A298" t="str">
            <v>Palmitinho</v>
          </cell>
          <cell r="B298">
            <v>0.66901898683981109</v>
          </cell>
          <cell r="C298" t="str">
            <v>MÉDIO ALTO URUGUAI</v>
          </cell>
          <cell r="D298">
            <v>0.67928410137535544</v>
          </cell>
          <cell r="E298">
            <v>0.59719999999999995</v>
          </cell>
          <cell r="F298">
            <v>9</v>
          </cell>
        </row>
        <row r="299">
          <cell r="A299" t="str">
            <v>Panambi</v>
          </cell>
          <cell r="B299">
            <v>0.79930445188492971</v>
          </cell>
          <cell r="C299" t="str">
            <v>NOROESTE COLONIAL</v>
          </cell>
          <cell r="D299">
            <v>0.78210389473788644</v>
          </cell>
          <cell r="E299">
            <v>0.35539999999999999</v>
          </cell>
          <cell r="F299" t="str">
            <v>10;11</v>
          </cell>
        </row>
        <row r="300">
          <cell r="A300" t="str">
            <v>Pantano Grande</v>
          </cell>
          <cell r="B300">
            <v>0.66042716119482414</v>
          </cell>
          <cell r="C300" t="str">
            <v>VALE DO RIO PARDO</v>
          </cell>
          <cell r="D300">
            <v>0.74524357951881126</v>
          </cell>
          <cell r="E300">
            <v>0.47439999999999999</v>
          </cell>
          <cell r="F300">
            <v>4</v>
          </cell>
        </row>
        <row r="301">
          <cell r="A301" t="str">
            <v>Paraí</v>
          </cell>
          <cell r="B301">
            <v>0.78199383200351236</v>
          </cell>
          <cell r="C301" t="str">
            <v>SERRA</v>
          </cell>
          <cell r="D301">
            <v>0.81824158171645489</v>
          </cell>
          <cell r="E301">
            <v>0.28899999999999998</v>
          </cell>
          <cell r="F301">
            <v>0</v>
          </cell>
        </row>
        <row r="302">
          <cell r="A302" t="str">
            <v>Paraíso do Sul</v>
          </cell>
          <cell r="B302">
            <v>0.60345455589488339</v>
          </cell>
          <cell r="C302" t="str">
            <v>JACUÍ CENTRO</v>
          </cell>
          <cell r="D302">
            <v>0.66683067195479895</v>
          </cell>
          <cell r="E302">
            <v>0.63380000000000003</v>
          </cell>
          <cell r="F302">
            <v>0</v>
          </cell>
        </row>
        <row r="303">
          <cell r="A303" t="str">
            <v>Pareci Novo</v>
          </cell>
          <cell r="B303">
            <v>0.64902779740480832</v>
          </cell>
          <cell r="C303" t="str">
            <v>VALE DO CAÍ</v>
          </cell>
          <cell r="D303">
            <v>0.7467472529579271</v>
          </cell>
          <cell r="E303">
            <v>0.47389999999999999</v>
          </cell>
          <cell r="F303">
            <v>0</v>
          </cell>
        </row>
        <row r="304">
          <cell r="A304" t="str">
            <v>Parobé</v>
          </cell>
          <cell r="B304">
            <v>0.62608141509249116</v>
          </cell>
          <cell r="C304" t="str">
            <v>PARANHANA ENCOSTA DA SERRA</v>
          </cell>
          <cell r="D304">
            <v>0.69507419923082692</v>
          </cell>
          <cell r="E304">
            <v>0.49859999999999999</v>
          </cell>
          <cell r="F304">
            <v>0</v>
          </cell>
        </row>
        <row r="305">
          <cell r="A305" t="str">
            <v>Passa Sete</v>
          </cell>
          <cell r="B305">
            <v>0.59355303888161748</v>
          </cell>
          <cell r="C305" t="str">
            <v>VALE DO RIO PARDO</v>
          </cell>
          <cell r="D305">
            <v>0.74524357951881126</v>
          </cell>
          <cell r="E305">
            <v>0.59660000000000002</v>
          </cell>
          <cell r="F305">
            <v>0</v>
          </cell>
        </row>
        <row r="306">
          <cell r="A306" t="str">
            <v>Passo do Sobrado</v>
          </cell>
          <cell r="B306">
            <v>0.65844271213689209</v>
          </cell>
          <cell r="C306" t="str">
            <v>VALE DO RIO PARDO</v>
          </cell>
          <cell r="D306">
            <v>0.74524357951881126</v>
          </cell>
          <cell r="E306">
            <v>0.48509999999999998</v>
          </cell>
          <cell r="F306">
            <v>0</v>
          </cell>
        </row>
        <row r="307">
          <cell r="A307" t="str">
            <v>Passo Fundo</v>
          </cell>
          <cell r="B307">
            <v>0.77381657445265961</v>
          </cell>
          <cell r="C307" t="str">
            <v>PRODUÇÃO</v>
          </cell>
          <cell r="D307">
            <v>0.77643264233807863</v>
          </cell>
          <cell r="E307">
            <v>0.36709999999999998</v>
          </cell>
          <cell r="F307">
            <v>1</v>
          </cell>
        </row>
        <row r="308">
          <cell r="A308" t="str">
            <v>Paulo Bento</v>
          </cell>
          <cell r="B308">
            <v>0.76856310059572963</v>
          </cell>
          <cell r="C308" t="str">
            <v>NORTE</v>
          </cell>
          <cell r="D308">
            <v>0.7765417184743687</v>
          </cell>
          <cell r="E308">
            <v>0.38840000000000002</v>
          </cell>
          <cell r="F308" t="str">
            <v>7; 10; 11</v>
          </cell>
        </row>
        <row r="309">
          <cell r="A309" t="str">
            <v>Paverama</v>
          </cell>
          <cell r="B309">
            <v>0.61001427148226273</v>
          </cell>
          <cell r="C309" t="str">
            <v>VALE DO TAQUARI</v>
          </cell>
          <cell r="D309">
            <v>0.75064951742439223</v>
          </cell>
          <cell r="E309">
            <v>0.503</v>
          </cell>
          <cell r="F309">
            <v>0</v>
          </cell>
        </row>
        <row r="310">
          <cell r="A310" t="str">
            <v>Pedras Altas</v>
          </cell>
          <cell r="B310">
            <v>0.75137185893880321</v>
          </cell>
          <cell r="C310" t="str">
            <v>SUL</v>
          </cell>
          <cell r="D310">
            <v>0.65661703497098345</v>
          </cell>
          <cell r="E310">
            <v>0.53449999999999998</v>
          </cell>
          <cell r="F310">
            <v>0</v>
          </cell>
        </row>
        <row r="311">
          <cell r="A311" t="str">
            <v>Pedro Osório</v>
          </cell>
          <cell r="B311">
            <v>0.55488004400873958</v>
          </cell>
          <cell r="C311" t="str">
            <v>SUL</v>
          </cell>
          <cell r="D311">
            <v>0.65661703497098345</v>
          </cell>
          <cell r="E311">
            <v>0.71799999999999997</v>
          </cell>
          <cell r="F311">
            <v>0</v>
          </cell>
        </row>
        <row r="312">
          <cell r="A312" t="str">
            <v>Pejuçara</v>
          </cell>
          <cell r="B312">
            <v>0.84038182062514788</v>
          </cell>
          <cell r="C312" t="str">
            <v>NOROESTE COLONIAL</v>
          </cell>
          <cell r="D312">
            <v>0.78210389473788644</v>
          </cell>
          <cell r="E312">
            <v>0.35460000000000003</v>
          </cell>
          <cell r="F312">
            <v>0</v>
          </cell>
        </row>
        <row r="313">
          <cell r="A313" t="str">
            <v>Pelotas</v>
          </cell>
          <cell r="B313">
            <v>0.62998270013361479</v>
          </cell>
          <cell r="C313" t="str">
            <v>SUL</v>
          </cell>
          <cell r="D313">
            <v>0.65661703497098345</v>
          </cell>
          <cell r="E313">
            <v>0.61580000000000001</v>
          </cell>
          <cell r="F313">
            <v>0</v>
          </cell>
        </row>
        <row r="314">
          <cell r="A314" t="str">
            <v>Picada Café</v>
          </cell>
          <cell r="B314">
            <v>0.87266547275135253</v>
          </cell>
          <cell r="C314" t="str">
            <v>HORTÊNSIAS</v>
          </cell>
          <cell r="D314">
            <v>0.72048239443520068</v>
          </cell>
          <cell r="E314">
            <v>0.18540000000000001</v>
          </cell>
          <cell r="F314">
            <v>0</v>
          </cell>
        </row>
        <row r="315">
          <cell r="A315" t="str">
            <v>Pinhal</v>
          </cell>
          <cell r="B315">
            <v>0.6981206544953118</v>
          </cell>
          <cell r="C315" t="str">
            <v>MÉDIO ALTO URUGUAI</v>
          </cell>
          <cell r="D315">
            <v>0.67928410137535544</v>
          </cell>
          <cell r="E315">
            <v>0.5524</v>
          </cell>
          <cell r="F315" t="str">
            <v>2; 6</v>
          </cell>
        </row>
        <row r="316">
          <cell r="A316" t="str">
            <v>Pinhal da Serra</v>
          </cell>
          <cell r="B316">
            <v>0.87860638889353759</v>
          </cell>
          <cell r="C316" t="str">
            <v>CAMPOS DE CIMA DA SERRA</v>
          </cell>
          <cell r="D316">
            <v>0.72496322746909969</v>
          </cell>
          <cell r="E316">
            <v>0.20419999999999999</v>
          </cell>
          <cell r="F316">
            <v>0</v>
          </cell>
        </row>
        <row r="317">
          <cell r="A317" t="str">
            <v>Pinhal Grande</v>
          </cell>
          <cell r="B317">
            <v>0.78638840413305722</v>
          </cell>
          <cell r="C317" t="str">
            <v>CENTRAL</v>
          </cell>
          <cell r="D317">
            <v>0.70246145903597013</v>
          </cell>
          <cell r="E317">
            <v>0.35959999999999998</v>
          </cell>
          <cell r="F317">
            <v>5</v>
          </cell>
        </row>
        <row r="318">
          <cell r="A318" t="str">
            <v>Pinheirinho do Vale</v>
          </cell>
          <cell r="B318">
            <v>0.6294949881484655</v>
          </cell>
          <cell r="C318" t="str">
            <v>MÉDIO ALTO URUGUAI</v>
          </cell>
          <cell r="D318">
            <v>0.67928410137535544</v>
          </cell>
          <cell r="E318">
            <v>0.66279999999999994</v>
          </cell>
          <cell r="F318" t="str">
            <v>7; 10; 11</v>
          </cell>
        </row>
        <row r="319">
          <cell r="A319" t="str">
            <v>Pinheiro Machado</v>
          </cell>
          <cell r="B319">
            <v>0.61399843759979988</v>
          </cell>
          <cell r="C319" t="str">
            <v>SUL</v>
          </cell>
          <cell r="D319">
            <v>0.65661703497098345</v>
          </cell>
          <cell r="E319">
            <v>0.64590000000000003</v>
          </cell>
          <cell r="F319">
            <v>0</v>
          </cell>
        </row>
        <row r="320">
          <cell r="A320" t="str">
            <v>Pinto Bandeira</v>
          </cell>
          <cell r="B320">
            <v>0.58298353711650264</v>
          </cell>
          <cell r="C320" t="str">
            <v>SERRA</v>
          </cell>
          <cell r="D320">
            <v>0.81824158171645489</v>
          </cell>
          <cell r="E320">
            <v>0.49170000000000003</v>
          </cell>
          <cell r="F320">
            <v>2</v>
          </cell>
        </row>
        <row r="321">
          <cell r="A321" t="str">
            <v>Pirapó</v>
          </cell>
          <cell r="B321">
            <v>0.62201308612134365</v>
          </cell>
          <cell r="C321" t="str">
            <v>MISSÕES</v>
          </cell>
          <cell r="D321">
            <v>0.70911796647033065</v>
          </cell>
          <cell r="E321">
            <v>0.69940000000000002</v>
          </cell>
          <cell r="F321">
            <v>0</v>
          </cell>
        </row>
        <row r="322">
          <cell r="A322" t="str">
            <v>Piratini</v>
          </cell>
          <cell r="B322">
            <v>0.57833334333810127</v>
          </cell>
          <cell r="C322" t="str">
            <v>SUL</v>
          </cell>
          <cell r="D322">
            <v>0.65661703497098345</v>
          </cell>
          <cell r="E322">
            <v>0.68869999999999998</v>
          </cell>
          <cell r="F322" t="str">
            <v>7; 10; 11</v>
          </cell>
        </row>
        <row r="323">
          <cell r="A323" t="str">
            <v>Planalto</v>
          </cell>
          <cell r="B323">
            <v>0.59677832625351768</v>
          </cell>
          <cell r="C323" t="str">
            <v>MÉDIO ALTO URUGUAI</v>
          </cell>
          <cell r="D323">
            <v>0.67928410137535544</v>
          </cell>
          <cell r="E323">
            <v>0.66569999999999996</v>
          </cell>
          <cell r="F323">
            <v>2</v>
          </cell>
        </row>
        <row r="324">
          <cell r="A324" t="str">
            <v>Poço das Antas</v>
          </cell>
          <cell r="B324">
            <v>0.73059231957073778</v>
          </cell>
          <cell r="C324" t="str">
            <v>VALE DO TAQUARI</v>
          </cell>
          <cell r="D324">
            <v>0.75064951742439223</v>
          </cell>
          <cell r="E324">
            <v>0.35899999999999999</v>
          </cell>
          <cell r="F324">
            <v>0</v>
          </cell>
        </row>
        <row r="325">
          <cell r="A325" t="str">
            <v>Pontão</v>
          </cell>
          <cell r="B325">
            <v>0.81306315035956733</v>
          </cell>
          <cell r="C325" t="str">
            <v>PRODUÇÃO</v>
          </cell>
          <cell r="D325">
            <v>0.77643264233807863</v>
          </cell>
          <cell r="E325">
            <v>0.35339999999999999</v>
          </cell>
          <cell r="F325">
            <v>5</v>
          </cell>
        </row>
        <row r="326">
          <cell r="A326" t="str">
            <v>Ponte Preta</v>
          </cell>
          <cell r="B326">
            <v>0.72617846568159772</v>
          </cell>
          <cell r="C326" t="str">
            <v>NORTE</v>
          </cell>
          <cell r="D326">
            <v>0.7765417184743687</v>
          </cell>
          <cell r="E326">
            <v>0.45629999999999998</v>
          </cell>
          <cell r="F326">
            <v>0</v>
          </cell>
        </row>
        <row r="327">
          <cell r="A327" t="str">
            <v>Portão</v>
          </cell>
          <cell r="B327">
            <v>0.73067734385094452</v>
          </cell>
          <cell r="C327" t="str">
            <v>VALE DO RIO DOS SINOS</v>
          </cell>
          <cell r="D327">
            <v>0.72562565243362109</v>
          </cell>
          <cell r="E327">
            <v>0.35170000000000001</v>
          </cell>
          <cell r="F327">
            <v>0</v>
          </cell>
        </row>
        <row r="328">
          <cell r="A328" t="str">
            <v>Porto Alegre</v>
          </cell>
          <cell r="B328">
            <v>0.8102140087074845</v>
          </cell>
          <cell r="C328" t="str">
            <v>METROPOLITANO DO DELTA DO JACUÍ</v>
          </cell>
          <cell r="D328">
            <v>0.77260399691033332</v>
          </cell>
          <cell r="E328">
            <v>0.26129999999999998</v>
          </cell>
          <cell r="F328">
            <v>0</v>
          </cell>
        </row>
        <row r="329">
          <cell r="A329" t="str">
            <v>Porto Lucena</v>
          </cell>
          <cell r="B329">
            <v>0.60035379963504887</v>
          </cell>
          <cell r="C329" t="str">
            <v>FRONTEIRA NOROESTE</v>
          </cell>
          <cell r="D329">
            <v>0.76178573110532932</v>
          </cell>
          <cell r="E329">
            <v>0.6885</v>
          </cell>
          <cell r="F329">
            <v>0</v>
          </cell>
        </row>
        <row r="330">
          <cell r="A330" t="str">
            <v>Porto Mauá</v>
          </cell>
          <cell r="B330">
            <v>0.64984923104362569</v>
          </cell>
          <cell r="C330" t="str">
            <v>FRONTEIRA NOROESTE</v>
          </cell>
          <cell r="D330">
            <v>0.76178573110532932</v>
          </cell>
          <cell r="E330">
            <v>0.62819999999999998</v>
          </cell>
          <cell r="F330">
            <v>0</v>
          </cell>
        </row>
        <row r="331">
          <cell r="A331" t="str">
            <v>Porto Vera Cruz</v>
          </cell>
          <cell r="B331">
            <v>0.63018527716548745</v>
          </cell>
          <cell r="C331" t="str">
            <v>FRONTEIRA NOROESTE</v>
          </cell>
          <cell r="D331">
            <v>0.76178573110532932</v>
          </cell>
          <cell r="E331">
            <v>0.65429999999999999</v>
          </cell>
          <cell r="F331">
            <v>0</v>
          </cell>
        </row>
        <row r="332">
          <cell r="A332" t="str">
            <v>Porto Xavier</v>
          </cell>
          <cell r="B332">
            <v>0.56740468278701006</v>
          </cell>
          <cell r="C332" t="str">
            <v>MISSÕES</v>
          </cell>
          <cell r="D332">
            <v>0.70911796647033065</v>
          </cell>
          <cell r="E332">
            <v>0.755</v>
          </cell>
          <cell r="F332">
            <v>0</v>
          </cell>
        </row>
        <row r="333">
          <cell r="A333" t="str">
            <v>Pouso Novo</v>
          </cell>
          <cell r="B333">
            <v>0.70095523175971319</v>
          </cell>
          <cell r="C333" t="str">
            <v>VALE DO TAQUARI</v>
          </cell>
          <cell r="D333">
            <v>0.75064951742439223</v>
          </cell>
          <cell r="E333">
            <v>0.44579999999999997</v>
          </cell>
          <cell r="F333">
            <v>1</v>
          </cell>
        </row>
        <row r="334">
          <cell r="A334" t="str">
            <v>Presidente Lucena</v>
          </cell>
          <cell r="B334">
            <v>0.75021338297946483</v>
          </cell>
          <cell r="C334" t="str">
            <v>PARANHANA ENCOSTA DA SERRA</v>
          </cell>
          <cell r="D334">
            <v>0.69507419923082692</v>
          </cell>
          <cell r="E334">
            <v>0.34300000000000003</v>
          </cell>
          <cell r="F334">
            <v>1</v>
          </cell>
        </row>
        <row r="335">
          <cell r="A335" t="str">
            <v>Progresso</v>
          </cell>
          <cell r="B335">
            <v>0.6474326696489705</v>
          </cell>
          <cell r="C335" t="str">
            <v>VALE DO TAQUARI</v>
          </cell>
          <cell r="D335">
            <v>0.75064951742439223</v>
          </cell>
          <cell r="E335">
            <v>0.50290000000000001</v>
          </cell>
          <cell r="F335">
            <v>9</v>
          </cell>
        </row>
        <row r="336">
          <cell r="A336" t="str">
            <v>Protásio Alves</v>
          </cell>
          <cell r="B336">
            <v>0.70335294805592696</v>
          </cell>
          <cell r="C336" t="str">
            <v>SERRA</v>
          </cell>
          <cell r="D336">
            <v>0.81824158171645489</v>
          </cell>
          <cell r="E336">
            <v>0.38069999999999998</v>
          </cell>
          <cell r="F336">
            <v>0</v>
          </cell>
        </row>
        <row r="337">
          <cell r="A337" t="str">
            <v>Putinga</v>
          </cell>
          <cell r="B337">
            <v>0.67637694299271733</v>
          </cell>
          <cell r="C337" t="str">
            <v>VALE DO TAQUARI</v>
          </cell>
          <cell r="D337">
            <v>0.75064951742439223</v>
          </cell>
          <cell r="E337">
            <v>0.46010000000000001</v>
          </cell>
          <cell r="F337" t="str">
            <v>7; 10; 11</v>
          </cell>
        </row>
        <row r="338">
          <cell r="A338" t="str">
            <v>Quaraí</v>
          </cell>
          <cell r="B338">
            <v>0.59543114878028947</v>
          </cell>
          <cell r="C338" t="str">
            <v>FRONTEIRA OESTE</v>
          </cell>
          <cell r="D338">
            <v>0.65191476396461001</v>
          </cell>
          <cell r="E338">
            <v>0.8</v>
          </cell>
          <cell r="F338">
            <v>0</v>
          </cell>
        </row>
        <row r="339">
          <cell r="A339" t="str">
            <v>Quatro Irmãos</v>
          </cell>
          <cell r="B339">
            <v>0.83556314459672076</v>
          </cell>
          <cell r="C339" t="str">
            <v>NORTE</v>
          </cell>
          <cell r="D339">
            <v>0.7765417184743687</v>
          </cell>
          <cell r="E339">
            <v>0.33339999999999997</v>
          </cell>
          <cell r="F339">
            <v>0</v>
          </cell>
        </row>
        <row r="340">
          <cell r="A340" t="str">
            <v>Quevedos</v>
          </cell>
          <cell r="B340">
            <v>0.79942986744625544</v>
          </cell>
          <cell r="C340" t="str">
            <v>CENTRAL</v>
          </cell>
          <cell r="D340">
            <v>0.70246145903597013</v>
          </cell>
          <cell r="E340">
            <v>0.45340000000000003</v>
          </cell>
          <cell r="F340" t="str">
            <v>2; 6</v>
          </cell>
        </row>
        <row r="341">
          <cell r="A341" t="str">
            <v>Quinze de Novembro</v>
          </cell>
          <cell r="B341">
            <v>0.75418131133462385</v>
          </cell>
          <cell r="C341" t="str">
            <v>ALTO JACUÍ</v>
          </cell>
          <cell r="D341">
            <v>0.80731012575366412</v>
          </cell>
          <cell r="E341">
            <v>0.40050000000000002</v>
          </cell>
          <cell r="F341">
            <v>0</v>
          </cell>
        </row>
        <row r="342">
          <cell r="A342" t="str">
            <v>Redentora</v>
          </cell>
          <cell r="B342">
            <v>0.52870850504572142</v>
          </cell>
          <cell r="C342" t="str">
            <v>CELEIRO</v>
          </cell>
          <cell r="D342">
            <v>0.67867533380807732</v>
          </cell>
          <cell r="E342">
            <v>0.75719999999999998</v>
          </cell>
          <cell r="F342">
            <v>0</v>
          </cell>
        </row>
        <row r="343">
          <cell r="A343" t="str">
            <v>Relvado</v>
          </cell>
          <cell r="B343">
            <v>0.68440908603618578</v>
          </cell>
          <cell r="C343" t="str">
            <v>VALE DO TAQUARI</v>
          </cell>
          <cell r="D343">
            <v>0.75064951742439223</v>
          </cell>
          <cell r="E343">
            <v>0.45429999999999998</v>
          </cell>
          <cell r="F343">
            <v>0</v>
          </cell>
        </row>
        <row r="344">
          <cell r="A344" t="str">
            <v>Restinga Seca</v>
          </cell>
          <cell r="B344">
            <v>0.65424594854209084</v>
          </cell>
          <cell r="C344" t="str">
            <v>JACUÍ CENTRO</v>
          </cell>
          <cell r="D344">
            <v>0.66683067195479895</v>
          </cell>
          <cell r="E344">
            <v>0.58360000000000001</v>
          </cell>
          <cell r="F344">
            <v>0</v>
          </cell>
        </row>
        <row r="345">
          <cell r="A345" t="str">
            <v>Rio dos Índios</v>
          </cell>
          <cell r="B345">
            <v>0.67183011595437991</v>
          </cell>
          <cell r="C345" t="str">
            <v>MÉDIO ALTO URUGUAI</v>
          </cell>
          <cell r="D345">
            <v>0.67928410137535544</v>
          </cell>
          <cell r="E345">
            <v>0.5917</v>
          </cell>
          <cell r="F345" t="str">
            <v>10; 11</v>
          </cell>
        </row>
        <row r="346">
          <cell r="A346" t="str">
            <v>Rio Grande</v>
          </cell>
          <cell r="B346">
            <v>0.74512480721341767</v>
          </cell>
          <cell r="C346" t="str">
            <v>SUL</v>
          </cell>
          <cell r="D346">
            <v>0.65661703497098345</v>
          </cell>
          <cell r="E346">
            <v>0.48520000000000002</v>
          </cell>
          <cell r="F346">
            <v>0</v>
          </cell>
        </row>
        <row r="347">
          <cell r="A347" t="str">
            <v>Rio Pardo</v>
          </cell>
          <cell r="B347">
            <v>0.62967596238509393</v>
          </cell>
          <cell r="C347" t="str">
            <v>VALE DO RIO PARDO</v>
          </cell>
          <cell r="D347">
            <v>0.74524357951881126</v>
          </cell>
          <cell r="E347">
            <v>0.52139999999999997</v>
          </cell>
          <cell r="F347">
            <v>0</v>
          </cell>
        </row>
        <row r="348">
          <cell r="A348" t="str">
            <v>Riozinho</v>
          </cell>
          <cell r="B348">
            <v>0.68417904293543308</v>
          </cell>
          <cell r="C348" t="str">
            <v>PARANHANA ENCOSTA DA SERRA</v>
          </cell>
          <cell r="D348">
            <v>0.69507419923082692</v>
          </cell>
          <cell r="E348">
            <v>0.43909999999999999</v>
          </cell>
          <cell r="F348">
            <v>8</v>
          </cell>
        </row>
        <row r="349">
          <cell r="A349" t="str">
            <v>Roca Sales</v>
          </cell>
          <cell r="B349">
            <v>0.75984388378725054</v>
          </cell>
          <cell r="C349" t="str">
            <v>VALE DO TAQUARI</v>
          </cell>
          <cell r="D349">
            <v>0.75064951742439223</v>
          </cell>
          <cell r="E349">
            <v>0.31430000000000002</v>
          </cell>
          <cell r="F349">
            <v>0</v>
          </cell>
        </row>
        <row r="350">
          <cell r="A350" t="str">
            <v>Rodeio Bonito</v>
          </cell>
          <cell r="B350">
            <v>0.67490706532208855</v>
          </cell>
          <cell r="C350" t="str">
            <v>MÉDIO ALTO URUGUAI</v>
          </cell>
          <cell r="D350">
            <v>0.67928410137535544</v>
          </cell>
          <cell r="E350">
            <v>0.58240000000000003</v>
          </cell>
          <cell r="F350">
            <v>3</v>
          </cell>
        </row>
        <row r="351">
          <cell r="A351" t="str">
            <v>Rolador</v>
          </cell>
          <cell r="B351">
            <v>0.72924171021901152</v>
          </cell>
          <cell r="C351" t="str">
            <v>MISSÕES</v>
          </cell>
          <cell r="D351">
            <v>0.70911796647033065</v>
          </cell>
          <cell r="E351">
            <v>0.56589999999999996</v>
          </cell>
          <cell r="F351">
            <v>0</v>
          </cell>
        </row>
        <row r="352">
          <cell r="A352" t="str">
            <v>Rolante</v>
          </cell>
          <cell r="B352">
            <v>0.6876011895057963</v>
          </cell>
          <cell r="C352" t="str">
            <v>PARANHANA ENCOSTA DA SERRA</v>
          </cell>
          <cell r="D352">
            <v>0.69507419923082692</v>
          </cell>
          <cell r="E352">
            <v>0.44180000000000003</v>
          </cell>
          <cell r="F352">
            <v>0</v>
          </cell>
        </row>
        <row r="353">
          <cell r="A353" t="str">
            <v>Ronda Alta</v>
          </cell>
          <cell r="B353">
            <v>0.69826599762552233</v>
          </cell>
          <cell r="C353" t="str">
            <v>RIO DA VÁRZEA</v>
          </cell>
          <cell r="D353">
            <v>0.72404919405158363</v>
          </cell>
          <cell r="E353">
            <v>0.51770000000000005</v>
          </cell>
          <cell r="F353">
            <v>0</v>
          </cell>
        </row>
        <row r="354">
          <cell r="A354" t="str">
            <v>Rondinha</v>
          </cell>
          <cell r="B354">
            <v>0.73713238710465268</v>
          </cell>
          <cell r="C354" t="str">
            <v>RIO DA VÁRZEA</v>
          </cell>
          <cell r="D354">
            <v>0.72404919405158363</v>
          </cell>
          <cell r="E354">
            <v>0.48</v>
          </cell>
          <cell r="F354">
            <v>0</v>
          </cell>
        </row>
        <row r="355">
          <cell r="A355" t="str">
            <v>Roque Gonzales</v>
          </cell>
          <cell r="B355">
            <v>0.70922945452044894</v>
          </cell>
          <cell r="C355" t="str">
            <v>MISSÕES</v>
          </cell>
          <cell r="D355">
            <v>0.70911796647033065</v>
          </cell>
          <cell r="E355">
            <v>0.50800000000000001</v>
          </cell>
          <cell r="F355">
            <v>0</v>
          </cell>
        </row>
        <row r="356">
          <cell r="A356" t="str">
            <v>Rosário do Sul</v>
          </cell>
          <cell r="B356">
            <v>0.63622507890615843</v>
          </cell>
          <cell r="C356" t="str">
            <v>FRONTEIRA OESTE</v>
          </cell>
          <cell r="D356">
            <v>0.65191476396461001</v>
          </cell>
          <cell r="E356">
            <v>0.68479999999999996</v>
          </cell>
          <cell r="F356" t="str">
            <v>2; 6</v>
          </cell>
        </row>
        <row r="357">
          <cell r="A357" t="str">
            <v>Sagrada Família</v>
          </cell>
          <cell r="B357">
            <v>0.66598827213231182</v>
          </cell>
          <cell r="C357" t="str">
            <v>RIO DA VÁRZEA</v>
          </cell>
          <cell r="D357">
            <v>0.72404919405158363</v>
          </cell>
          <cell r="E357">
            <v>0.56620000000000004</v>
          </cell>
          <cell r="F357">
            <v>0</v>
          </cell>
        </row>
        <row r="358">
          <cell r="A358" t="str">
            <v>Saldanha Marinho</v>
          </cell>
          <cell r="B358">
            <v>0.80014886978199962</v>
          </cell>
          <cell r="C358" t="str">
            <v>ALTO JACUÍ</v>
          </cell>
          <cell r="D358">
            <v>0.80731012575366412</v>
          </cell>
          <cell r="E358">
            <v>0.36049999999999999</v>
          </cell>
          <cell r="F358">
            <v>5</v>
          </cell>
        </row>
        <row r="359">
          <cell r="A359" t="str">
            <v>Salto do Jacuí</v>
          </cell>
          <cell r="B359">
            <v>0.6839328619638374</v>
          </cell>
          <cell r="C359" t="str">
            <v>ALTO JACUÍ</v>
          </cell>
          <cell r="D359">
            <v>0.80731012575366412</v>
          </cell>
          <cell r="E359">
            <v>0.42409999999999998</v>
          </cell>
          <cell r="F359">
            <v>0</v>
          </cell>
        </row>
        <row r="360">
          <cell r="A360" t="str">
            <v>Salvador das Missões</v>
          </cell>
          <cell r="B360">
            <v>0.76167923971629115</v>
          </cell>
          <cell r="C360" t="str">
            <v>MISSÕES</v>
          </cell>
          <cell r="D360">
            <v>0.70911796647033065</v>
          </cell>
          <cell r="E360">
            <v>0.52149999999999996</v>
          </cell>
          <cell r="F360">
            <v>0</v>
          </cell>
        </row>
        <row r="361">
          <cell r="A361" t="str">
            <v>Salvador do Sul</v>
          </cell>
          <cell r="B361">
            <v>0.7860529354023037</v>
          </cell>
          <cell r="C361" t="str">
            <v>VALE DO CAÍ</v>
          </cell>
          <cell r="D361">
            <v>0.7467472529579271</v>
          </cell>
          <cell r="E361">
            <v>0.3105</v>
          </cell>
          <cell r="F361">
            <v>0</v>
          </cell>
        </row>
        <row r="362">
          <cell r="A362" t="str">
            <v>Sananduva</v>
          </cell>
          <cell r="B362">
            <v>0.72595775535368823</v>
          </cell>
          <cell r="C362" t="str">
            <v>NORDESTE</v>
          </cell>
          <cell r="D362">
            <v>0.73065139408555813</v>
          </cell>
          <cell r="E362">
            <v>0.44019999999999998</v>
          </cell>
          <cell r="F362">
            <v>0</v>
          </cell>
        </row>
        <row r="363">
          <cell r="A363" t="str">
            <v>Santa Bárbara do Sul</v>
          </cell>
          <cell r="B363">
            <v>0.8444281970999461</v>
          </cell>
          <cell r="C363" t="str">
            <v>ALTO JACUÍ</v>
          </cell>
          <cell r="D363">
            <v>0.80731012575366412</v>
          </cell>
          <cell r="E363">
            <v>0.31830000000000003</v>
          </cell>
          <cell r="F363">
            <v>0</v>
          </cell>
        </row>
        <row r="364">
          <cell r="A364" t="str">
            <v>Santa Cecília do Sul</v>
          </cell>
          <cell r="B364">
            <v>0.7805263167855967</v>
          </cell>
          <cell r="C364" t="str">
            <v>NORDESTE</v>
          </cell>
          <cell r="D364">
            <v>0.73065139408555813</v>
          </cell>
          <cell r="E364">
            <v>0.38819999999999999</v>
          </cell>
          <cell r="F364">
            <v>0</v>
          </cell>
        </row>
        <row r="365">
          <cell r="A365" t="str">
            <v>Santa Clara do Sul</v>
          </cell>
          <cell r="B365">
            <v>0.74478423656393034</v>
          </cell>
          <cell r="C365" t="str">
            <v>VALE DO TAQUARI</v>
          </cell>
          <cell r="D365">
            <v>0.75064951742439223</v>
          </cell>
          <cell r="E365">
            <v>0.34239999999999998</v>
          </cell>
          <cell r="F365">
            <v>0</v>
          </cell>
        </row>
        <row r="366">
          <cell r="A366" t="str">
            <v>Santa Cruz do Sul</v>
          </cell>
          <cell r="B366">
            <v>0.86523280115033718</v>
          </cell>
          <cell r="C366" t="str">
            <v>VALE DO RIO PARDO</v>
          </cell>
          <cell r="D366">
            <v>0.74524357951881126</v>
          </cell>
          <cell r="E366">
            <v>0.24940000000000001</v>
          </cell>
          <cell r="F366">
            <v>0</v>
          </cell>
        </row>
        <row r="367">
          <cell r="A367" t="str">
            <v>Santa Margarida do Sul</v>
          </cell>
          <cell r="B367">
            <v>0.81350005292204086</v>
          </cell>
          <cell r="C367" t="str">
            <v>FRONTEIRA OESTE</v>
          </cell>
          <cell r="D367">
            <v>0.65191476396461001</v>
          </cell>
          <cell r="E367">
            <v>0.45979999999999999</v>
          </cell>
          <cell r="F367">
            <v>1</v>
          </cell>
        </row>
        <row r="368">
          <cell r="A368" t="str">
            <v>Santa Maria</v>
          </cell>
          <cell r="B368">
            <v>0.68580846624453962</v>
          </cell>
          <cell r="C368" t="str">
            <v>CENTRAL</v>
          </cell>
          <cell r="D368">
            <v>0.70246145903597013</v>
          </cell>
          <cell r="E368">
            <v>0.54800000000000004</v>
          </cell>
          <cell r="F368">
            <v>0</v>
          </cell>
        </row>
        <row r="369">
          <cell r="A369" t="str">
            <v>Santa Maria do Herval</v>
          </cell>
          <cell r="B369">
            <v>0.72658388518333006</v>
          </cell>
          <cell r="C369" t="str">
            <v>PARANHANA ENCOSTA DA SERRA</v>
          </cell>
          <cell r="D369">
            <v>0.69507419923082692</v>
          </cell>
          <cell r="E369">
            <v>0.3735</v>
          </cell>
          <cell r="F369">
            <v>11</v>
          </cell>
        </row>
        <row r="370">
          <cell r="A370" t="str">
            <v>Santa Rosa</v>
          </cell>
          <cell r="B370">
            <v>0.75699259067185243</v>
          </cell>
          <cell r="C370" t="str">
            <v>FRONTEIRA NOROESTE</v>
          </cell>
          <cell r="D370">
            <v>0.76178573110532932</v>
          </cell>
          <cell r="E370">
            <v>0.47599999999999998</v>
          </cell>
          <cell r="F370">
            <v>4</v>
          </cell>
        </row>
        <row r="371">
          <cell r="A371" t="str">
            <v>Santa Tereza</v>
          </cell>
          <cell r="B371">
            <v>0.66079287047378044</v>
          </cell>
          <cell r="C371" t="str">
            <v>SERRA</v>
          </cell>
          <cell r="D371">
            <v>0.81824158171645489</v>
          </cell>
          <cell r="E371">
            <v>0.4249</v>
          </cell>
          <cell r="F371">
            <v>0</v>
          </cell>
        </row>
        <row r="372">
          <cell r="A372" t="str">
            <v>Santa Vitória do Palmar</v>
          </cell>
          <cell r="B372">
            <v>0.66670681283734456</v>
          </cell>
          <cell r="C372" t="str">
            <v>SUL</v>
          </cell>
          <cell r="D372">
            <v>0.65661703497098345</v>
          </cell>
          <cell r="E372">
            <v>0.68759999999999999</v>
          </cell>
          <cell r="F372">
            <v>9</v>
          </cell>
        </row>
        <row r="373">
          <cell r="A373" t="str">
            <v>Santana da Boa Vista</v>
          </cell>
          <cell r="B373">
            <v>0.59635860261825735</v>
          </cell>
          <cell r="C373" t="str">
            <v>SUL</v>
          </cell>
          <cell r="D373">
            <v>0.65661703497098345</v>
          </cell>
          <cell r="E373">
            <v>0.65490000000000004</v>
          </cell>
          <cell r="F373">
            <v>0</v>
          </cell>
        </row>
        <row r="374">
          <cell r="A374" t="str">
            <v>Santana do Livramento</v>
          </cell>
          <cell r="B374">
            <v>0.63017164553533833</v>
          </cell>
          <cell r="C374" t="str">
            <v>FRONTEIRA OESTE</v>
          </cell>
          <cell r="D374">
            <v>0.65191476396461001</v>
          </cell>
          <cell r="E374">
            <v>0.71</v>
          </cell>
          <cell r="F374">
            <v>0</v>
          </cell>
        </row>
        <row r="375">
          <cell r="A375" t="str">
            <v>Santiago</v>
          </cell>
          <cell r="B375">
            <v>0.66223126204485827</v>
          </cell>
          <cell r="C375" t="str">
            <v>VALE DO JAGUARÍ</v>
          </cell>
          <cell r="D375">
            <v>0.6654549152476753</v>
          </cell>
          <cell r="E375">
            <v>0.65</v>
          </cell>
          <cell r="F375">
            <v>1</v>
          </cell>
        </row>
        <row r="376">
          <cell r="A376" t="str">
            <v>Santo Ângelo</v>
          </cell>
          <cell r="B376">
            <v>0.69506875096132548</v>
          </cell>
          <cell r="C376" t="str">
            <v>MISSÕES</v>
          </cell>
          <cell r="D376">
            <v>0.70911796647033065</v>
          </cell>
          <cell r="E376">
            <v>0.56079999999999997</v>
          </cell>
          <cell r="F376">
            <v>9</v>
          </cell>
        </row>
        <row r="377">
          <cell r="A377" t="str">
            <v>Santo Antônio da Patrulha</v>
          </cell>
          <cell r="B377">
            <v>0.69244626785914309</v>
          </cell>
          <cell r="C377" t="str">
            <v>METROPOLITANO DO DELTA DO JACUÍ</v>
          </cell>
          <cell r="D377">
            <v>0.77260399691033332</v>
          </cell>
          <cell r="E377">
            <v>0.3962</v>
          </cell>
          <cell r="F377">
            <v>0</v>
          </cell>
        </row>
        <row r="378">
          <cell r="A378" t="str">
            <v>Santo Antônio das Missões</v>
          </cell>
          <cell r="B378">
            <v>0.66323648516957168</v>
          </cell>
          <cell r="C378" t="str">
            <v>MISSÕES</v>
          </cell>
          <cell r="D378">
            <v>0.70911796647033065</v>
          </cell>
          <cell r="E378">
            <v>0.64859999999999995</v>
          </cell>
          <cell r="F378">
            <v>0</v>
          </cell>
        </row>
        <row r="379">
          <cell r="A379" t="str">
            <v>Santo Antônio do Palma</v>
          </cell>
          <cell r="B379">
            <v>0.7600129601517972</v>
          </cell>
          <cell r="C379" t="str">
            <v>PRODUÇÃO</v>
          </cell>
          <cell r="D379">
            <v>0.77643264233807863</v>
          </cell>
          <cell r="E379">
            <v>0.3669</v>
          </cell>
          <cell r="F379">
            <v>3</v>
          </cell>
        </row>
        <row r="380">
          <cell r="A380" t="str">
            <v>Santo Antônio do Planalto</v>
          </cell>
          <cell r="B380">
            <v>0.78495489967909493</v>
          </cell>
          <cell r="C380" t="str">
            <v>PRODUÇÃO</v>
          </cell>
          <cell r="D380">
            <v>0.77643264233807863</v>
          </cell>
          <cell r="E380">
            <v>0.37569999999999998</v>
          </cell>
          <cell r="F380">
            <v>5</v>
          </cell>
        </row>
        <row r="381">
          <cell r="A381" t="str">
            <v>Santo Augusto</v>
          </cell>
          <cell r="B381">
            <v>0.73523223744280186</v>
          </cell>
          <cell r="C381" t="str">
            <v>CELEIRO</v>
          </cell>
          <cell r="D381">
            <v>0.67867533380807732</v>
          </cell>
          <cell r="E381">
            <v>0.53439999999999999</v>
          </cell>
          <cell r="F381">
            <v>0</v>
          </cell>
        </row>
        <row r="382">
          <cell r="A382" t="str">
            <v>Santo Cristo</v>
          </cell>
          <cell r="B382">
            <v>0.73146617629751354</v>
          </cell>
          <cell r="C382" t="str">
            <v>FRONTEIRA NOROESTE</v>
          </cell>
          <cell r="D382">
            <v>0.76178573110532932</v>
          </cell>
          <cell r="E382">
            <v>0.52829999999999999</v>
          </cell>
          <cell r="F382" t="str">
            <v>7; 11</v>
          </cell>
        </row>
        <row r="383">
          <cell r="A383" t="str">
            <v>Santo Expedito do Sul</v>
          </cell>
          <cell r="B383">
            <v>0.71059036848275425</v>
          </cell>
          <cell r="C383" t="str">
            <v>NORDESTE</v>
          </cell>
          <cell r="D383">
            <v>0.73065139408555813</v>
          </cell>
          <cell r="E383">
            <v>0.46639999999999998</v>
          </cell>
          <cell r="F383">
            <v>0</v>
          </cell>
        </row>
        <row r="384">
          <cell r="A384" t="str">
            <v>São Borja</v>
          </cell>
          <cell r="B384">
            <v>0.68636288898788012</v>
          </cell>
          <cell r="C384" t="str">
            <v>FRONTEIRA OESTE</v>
          </cell>
          <cell r="D384">
            <v>0.65191476396461001</v>
          </cell>
          <cell r="E384">
            <v>0.67959999999999998</v>
          </cell>
          <cell r="F384">
            <v>0</v>
          </cell>
        </row>
        <row r="385">
          <cell r="A385" t="str">
            <v>São Domingos do Sul</v>
          </cell>
          <cell r="B385">
            <v>0.67229898739251759</v>
          </cell>
          <cell r="C385" t="str">
            <v>PRODUÇÃO</v>
          </cell>
          <cell r="D385">
            <v>0.77643264233807863</v>
          </cell>
          <cell r="E385">
            <v>0.4491</v>
          </cell>
          <cell r="F385">
            <v>1</v>
          </cell>
        </row>
        <row r="386">
          <cell r="A386" t="str">
            <v>São Francisco de Assis</v>
          </cell>
          <cell r="B386">
            <v>0.62347078200166073</v>
          </cell>
          <cell r="C386" t="str">
            <v>VALE DO JAGUARÍ</v>
          </cell>
          <cell r="D386">
            <v>0.6654549152476753</v>
          </cell>
          <cell r="E386">
            <v>0.70479999999999998</v>
          </cell>
          <cell r="F386">
            <v>4</v>
          </cell>
        </row>
        <row r="387">
          <cell r="A387" t="str">
            <v>São Francisco de Paula</v>
          </cell>
          <cell r="B387">
            <v>0.63788861229989324</v>
          </cell>
          <cell r="C387" t="str">
            <v>HORTÊNSIAS</v>
          </cell>
          <cell r="D387">
            <v>0.72048239443520068</v>
          </cell>
          <cell r="E387">
            <v>0.50570000000000004</v>
          </cell>
          <cell r="F387">
            <v>0</v>
          </cell>
        </row>
        <row r="388">
          <cell r="A388" t="str">
            <v>São Gabriel</v>
          </cell>
          <cell r="B388">
            <v>0.63616027369957528</v>
          </cell>
          <cell r="C388" t="str">
            <v>FRONTEIRA OESTE</v>
          </cell>
          <cell r="D388">
            <v>0.65191476396461001</v>
          </cell>
          <cell r="E388">
            <v>0.65280000000000005</v>
          </cell>
          <cell r="F388">
            <v>0</v>
          </cell>
        </row>
        <row r="389">
          <cell r="A389" t="str">
            <v>São Jerônimo</v>
          </cell>
          <cell r="B389">
            <v>0.64999469296844103</v>
          </cell>
          <cell r="C389" t="str">
            <v>CENTRO SUL</v>
          </cell>
          <cell r="D389">
            <v>0.63962091655125897</v>
          </cell>
          <cell r="E389">
            <v>0.51749999999999996</v>
          </cell>
          <cell r="F389">
            <v>0</v>
          </cell>
        </row>
        <row r="390">
          <cell r="A390" t="str">
            <v>São João da Urtiga</v>
          </cell>
          <cell r="B390">
            <v>0.7013183319410824</v>
          </cell>
          <cell r="C390" t="str">
            <v>NORDESTE</v>
          </cell>
          <cell r="D390">
            <v>0.73065139408555813</v>
          </cell>
          <cell r="E390">
            <v>0.4844</v>
          </cell>
          <cell r="F390">
            <v>0</v>
          </cell>
        </row>
        <row r="391">
          <cell r="A391" t="str">
            <v>São João do Polêsine</v>
          </cell>
          <cell r="B391">
            <v>0.69971051979651133</v>
          </cell>
          <cell r="C391" t="str">
            <v>CENTRAL</v>
          </cell>
          <cell r="D391">
            <v>0.70246145903597013</v>
          </cell>
          <cell r="E391">
            <v>0.5202</v>
          </cell>
          <cell r="F391">
            <v>0</v>
          </cell>
        </row>
        <row r="392">
          <cell r="A392" t="str">
            <v>São Jorge</v>
          </cell>
          <cell r="B392">
            <v>0.7365845459321706</v>
          </cell>
          <cell r="C392" t="str">
            <v>SERRA</v>
          </cell>
          <cell r="D392">
            <v>0.81824158171645489</v>
          </cell>
          <cell r="E392">
            <v>0.3609</v>
          </cell>
          <cell r="F392">
            <v>0</v>
          </cell>
        </row>
        <row r="393">
          <cell r="A393" t="str">
            <v>São José das Missões</v>
          </cell>
          <cell r="B393">
            <v>0.63913454832779271</v>
          </cell>
          <cell r="C393" t="str">
            <v>RIO DA VÁRZEA</v>
          </cell>
          <cell r="D393">
            <v>0.72404919405158363</v>
          </cell>
          <cell r="E393">
            <v>0.5927</v>
          </cell>
          <cell r="F393">
            <v>4</v>
          </cell>
        </row>
        <row r="394">
          <cell r="A394" t="str">
            <v>São José do Herval</v>
          </cell>
          <cell r="B394">
            <v>0.63156336687250769</v>
          </cell>
          <cell r="C394" t="str">
            <v>ALTO DA SERRA DO BOTUCARAÍ</v>
          </cell>
          <cell r="D394">
            <v>0.67356568186234722</v>
          </cell>
          <cell r="E394">
            <v>0.56210000000000004</v>
          </cell>
          <cell r="F394">
            <v>5</v>
          </cell>
        </row>
        <row r="395">
          <cell r="A395" t="str">
            <v>São José do Hortêncio</v>
          </cell>
          <cell r="B395">
            <v>0.7158476092490661</v>
          </cell>
          <cell r="C395" t="str">
            <v>VALE DO CAÍ</v>
          </cell>
          <cell r="D395">
            <v>0.7467472529579271</v>
          </cell>
          <cell r="E395">
            <v>0.36059999999999998</v>
          </cell>
          <cell r="F395">
            <v>3</v>
          </cell>
        </row>
        <row r="396">
          <cell r="A396" t="str">
            <v>São José do Inhacorá</v>
          </cell>
          <cell r="B396">
            <v>0.75026637477418512</v>
          </cell>
          <cell r="C396" t="str">
            <v>FRONTEIRA NOROESTE</v>
          </cell>
          <cell r="D396">
            <v>0.76178573110532932</v>
          </cell>
          <cell r="E396">
            <v>0.4839</v>
          </cell>
          <cell r="F396" t="str">
            <v>7; 10; 11</v>
          </cell>
        </row>
        <row r="397">
          <cell r="A397" t="str">
            <v>São José do Norte</v>
          </cell>
          <cell r="B397">
            <v>0.5266617323063213</v>
          </cell>
          <cell r="C397" t="str">
            <v>SUL</v>
          </cell>
          <cell r="D397">
            <v>0.65661703497098345</v>
          </cell>
          <cell r="E397">
            <v>0.73619999999999997</v>
          </cell>
          <cell r="F397">
            <v>0</v>
          </cell>
        </row>
        <row r="398">
          <cell r="A398" t="str">
            <v>São José do Ouro</v>
          </cell>
          <cell r="B398">
            <v>0.77105308817484519</v>
          </cell>
          <cell r="C398" t="str">
            <v>NORDESTE</v>
          </cell>
          <cell r="D398">
            <v>0.73065139408555813</v>
          </cell>
          <cell r="E398">
            <v>0.40670000000000001</v>
          </cell>
          <cell r="F398">
            <v>0</v>
          </cell>
        </row>
        <row r="399">
          <cell r="A399" t="str">
            <v>São José do Sul</v>
          </cell>
          <cell r="B399">
            <v>0.69705598703852156</v>
          </cell>
          <cell r="C399" t="str">
            <v>VALE DO CAÍ</v>
          </cell>
          <cell r="D399">
            <v>0.7467472529579271</v>
          </cell>
          <cell r="E399">
            <v>0.41899999999999998</v>
          </cell>
          <cell r="F399">
            <v>0</v>
          </cell>
        </row>
        <row r="400">
          <cell r="A400" t="str">
            <v>São José dos Ausentes</v>
          </cell>
          <cell r="B400">
            <v>0.66921617836878111</v>
          </cell>
          <cell r="C400" t="str">
            <v>CAMPOS DE CIMA DA SERRA</v>
          </cell>
          <cell r="D400">
            <v>0.72496322746909969</v>
          </cell>
          <cell r="E400">
            <v>0.49880000000000002</v>
          </cell>
          <cell r="F400">
            <v>0</v>
          </cell>
        </row>
        <row r="401">
          <cell r="A401" t="str">
            <v>São Leopoldo</v>
          </cell>
          <cell r="B401">
            <v>0.7036058670419949</v>
          </cell>
          <cell r="C401" t="str">
            <v>VALE DO RIO DOS SINOS</v>
          </cell>
          <cell r="D401">
            <v>0.72562565243362109</v>
          </cell>
          <cell r="E401">
            <v>0.39489999999999997</v>
          </cell>
          <cell r="F401">
            <v>9</v>
          </cell>
        </row>
        <row r="402">
          <cell r="A402" t="str">
            <v>São Lourenço do Sul</v>
          </cell>
          <cell r="B402">
            <v>0.63726865729208049</v>
          </cell>
          <cell r="C402" t="str">
            <v>SUL</v>
          </cell>
          <cell r="D402">
            <v>0.65661703497098345</v>
          </cell>
          <cell r="E402">
            <v>0.58879999999999999</v>
          </cell>
          <cell r="F402">
            <v>5</v>
          </cell>
        </row>
        <row r="403">
          <cell r="A403" t="str">
            <v>São Luiz Gonzaga</v>
          </cell>
          <cell r="B403">
            <v>0.70345566384623992</v>
          </cell>
          <cell r="C403" t="str">
            <v>MISSÕES</v>
          </cell>
          <cell r="D403">
            <v>0.70911796647033065</v>
          </cell>
          <cell r="E403">
            <v>0.59279999999999999</v>
          </cell>
          <cell r="F403">
            <v>5</v>
          </cell>
        </row>
        <row r="404">
          <cell r="A404" t="str">
            <v>São Marcos</v>
          </cell>
          <cell r="B404">
            <v>0.74192825945530516</v>
          </cell>
          <cell r="C404" t="str">
            <v>SERRA</v>
          </cell>
          <cell r="D404">
            <v>0.81824158171645489</v>
          </cell>
          <cell r="E404">
            <v>0.29780000000000001</v>
          </cell>
          <cell r="F404">
            <v>0</v>
          </cell>
        </row>
        <row r="405">
          <cell r="A405" t="str">
            <v>São Martinho</v>
          </cell>
          <cell r="B405">
            <v>0.73833920678953535</v>
          </cell>
          <cell r="C405" t="str">
            <v>CELEIRO</v>
          </cell>
          <cell r="D405">
            <v>0.67867533380807732</v>
          </cell>
          <cell r="E405">
            <v>0.54210000000000003</v>
          </cell>
          <cell r="F405" t="str">
            <v>2; 6</v>
          </cell>
        </row>
        <row r="406">
          <cell r="A406" t="str">
            <v>São Martinho da Serra</v>
          </cell>
          <cell r="B406">
            <v>0.78748525545512527</v>
          </cell>
          <cell r="C406" t="str">
            <v>CENTRAL</v>
          </cell>
          <cell r="D406">
            <v>0.70246145903597013</v>
          </cell>
          <cell r="E406">
            <v>0.45390000000000003</v>
          </cell>
          <cell r="F406">
            <v>0</v>
          </cell>
        </row>
        <row r="407">
          <cell r="A407" t="str">
            <v>São Miguel das Missões</v>
          </cell>
          <cell r="B407">
            <v>0.79275435346738288</v>
          </cell>
          <cell r="C407" t="str">
            <v>MISSÕES</v>
          </cell>
          <cell r="D407">
            <v>0.70911796647033065</v>
          </cell>
          <cell r="E407">
            <v>0.48230000000000001</v>
          </cell>
          <cell r="F407">
            <v>0</v>
          </cell>
        </row>
        <row r="408">
          <cell r="A408" t="str">
            <v>São Nicolau</v>
          </cell>
          <cell r="B408">
            <v>0.61133141370362187</v>
          </cell>
          <cell r="C408" t="str">
            <v>MISSÕES</v>
          </cell>
          <cell r="D408">
            <v>0.70911796647033065</v>
          </cell>
          <cell r="E408">
            <v>0.71050000000000002</v>
          </cell>
          <cell r="F408">
            <v>0</v>
          </cell>
        </row>
        <row r="409">
          <cell r="A409" t="str">
            <v>São Paulo das Missões</v>
          </cell>
          <cell r="B409">
            <v>0.65047063507701286</v>
          </cell>
          <cell r="C409" t="str">
            <v>MISSÕES</v>
          </cell>
          <cell r="D409">
            <v>0.70911796647033065</v>
          </cell>
          <cell r="E409">
            <v>0.65290000000000004</v>
          </cell>
          <cell r="F409">
            <v>0</v>
          </cell>
        </row>
        <row r="410">
          <cell r="A410" t="str">
            <v>São Pedro da Serra</v>
          </cell>
          <cell r="B410">
            <v>0.63639356063009012</v>
          </cell>
          <cell r="C410" t="str">
            <v>VALE DO CAÍ</v>
          </cell>
          <cell r="D410">
            <v>0.7467472529579271</v>
          </cell>
          <cell r="E410">
            <v>0.47139999999999999</v>
          </cell>
          <cell r="F410">
            <v>2</v>
          </cell>
        </row>
        <row r="411">
          <cell r="A411" t="str">
            <v>São Pedro das Missões</v>
          </cell>
          <cell r="B411">
            <v>0.70091156827933376</v>
          </cell>
          <cell r="C411" t="str">
            <v>RIO DA VÁRZEA</v>
          </cell>
          <cell r="D411">
            <v>0.72404919405158363</v>
          </cell>
          <cell r="E411">
            <v>0.53369999999999995</v>
          </cell>
          <cell r="F411">
            <v>0</v>
          </cell>
        </row>
        <row r="412">
          <cell r="A412" t="str">
            <v>São Pedro do Butiá</v>
          </cell>
          <cell r="B412">
            <v>0.71296166118848392</v>
          </cell>
          <cell r="C412" t="str">
            <v>MISSÕES</v>
          </cell>
          <cell r="D412">
            <v>0.70911796647033065</v>
          </cell>
          <cell r="E412">
            <v>0.58499999999999996</v>
          </cell>
          <cell r="F412">
            <v>0</v>
          </cell>
        </row>
        <row r="413">
          <cell r="A413" t="str">
            <v>São Pedro do Sul</v>
          </cell>
          <cell r="B413">
            <v>0.62789856245764486</v>
          </cell>
          <cell r="C413" t="str">
            <v>CENTRAL</v>
          </cell>
          <cell r="D413">
            <v>0.70246145903597013</v>
          </cell>
          <cell r="E413">
            <v>0.62870000000000004</v>
          </cell>
          <cell r="F413">
            <v>0</v>
          </cell>
        </row>
        <row r="414">
          <cell r="A414" t="str">
            <v>São Sebastião do Caí</v>
          </cell>
          <cell r="B414">
            <v>0.68874356647723811</v>
          </cell>
          <cell r="C414" t="str">
            <v>VALE DO CAÍ</v>
          </cell>
          <cell r="D414">
            <v>0.7467472529579271</v>
          </cell>
          <cell r="E414">
            <v>0.41420000000000001</v>
          </cell>
          <cell r="F414">
            <v>0</v>
          </cell>
        </row>
        <row r="415">
          <cell r="A415" t="str">
            <v>São Sepé</v>
          </cell>
          <cell r="B415">
            <v>0.70467817576215119</v>
          </cell>
          <cell r="C415" t="str">
            <v>JACUÍ CENTRO</v>
          </cell>
          <cell r="D415">
            <v>0.66683067195479895</v>
          </cell>
          <cell r="E415">
            <v>0.53849999999999998</v>
          </cell>
          <cell r="F415">
            <v>0</v>
          </cell>
        </row>
        <row r="416">
          <cell r="A416" t="str">
            <v>São Valentim</v>
          </cell>
          <cell r="B416">
            <v>0.69150024661449527</v>
          </cell>
          <cell r="C416" t="str">
            <v>NORTE</v>
          </cell>
          <cell r="D416">
            <v>0.7765417184743687</v>
          </cell>
          <cell r="E416">
            <v>0.48509999999999998</v>
          </cell>
          <cell r="F416">
            <v>0</v>
          </cell>
        </row>
        <row r="417">
          <cell r="A417" t="str">
            <v>São Valentim do Sul</v>
          </cell>
          <cell r="B417">
            <v>0.68811238565687349</v>
          </cell>
          <cell r="C417" t="str">
            <v>SERRA</v>
          </cell>
          <cell r="D417">
            <v>0.81824158171645489</v>
          </cell>
          <cell r="E417">
            <v>0.39169999999999999</v>
          </cell>
          <cell r="F417" t="str">
            <v>10; 11</v>
          </cell>
        </row>
        <row r="418">
          <cell r="A418" t="str">
            <v>São Valério do Sul</v>
          </cell>
          <cell r="B418">
            <v>0.58161301350498096</v>
          </cell>
          <cell r="C418" t="str">
            <v>CELEIRO</v>
          </cell>
          <cell r="D418">
            <v>0.67867533380807732</v>
          </cell>
          <cell r="E418">
            <v>0.70899999999999996</v>
          </cell>
          <cell r="F418">
            <v>0</v>
          </cell>
        </row>
        <row r="419">
          <cell r="A419" t="str">
            <v>São Vendelino</v>
          </cell>
          <cell r="B419">
            <v>0.74208495813155051</v>
          </cell>
          <cell r="C419" t="str">
            <v>VALE DO CAÍ</v>
          </cell>
          <cell r="D419">
            <v>0.7467472529579271</v>
          </cell>
          <cell r="E419">
            <v>0.33169999999999999</v>
          </cell>
          <cell r="F419">
            <v>0</v>
          </cell>
        </row>
        <row r="420">
          <cell r="A420" t="str">
            <v>São Vicente do Sul</v>
          </cell>
          <cell r="B420">
            <v>0.67023181093656681</v>
          </cell>
          <cell r="C420" t="str">
            <v>VALE DO JAGUARÍ</v>
          </cell>
          <cell r="D420">
            <v>0.6654549152476753</v>
          </cell>
          <cell r="E420">
            <v>0.63239999999999996</v>
          </cell>
          <cell r="F420">
            <v>0</v>
          </cell>
        </row>
        <row r="421">
          <cell r="A421" t="str">
            <v>Sapiranga</v>
          </cell>
          <cell r="B421">
            <v>0.73275294035270266</v>
          </cell>
          <cell r="C421" t="str">
            <v>VALE DO RIO DOS SINOS</v>
          </cell>
          <cell r="D421">
            <v>0.72562565243362109</v>
          </cell>
          <cell r="E421">
            <v>0.35580000000000001</v>
          </cell>
          <cell r="F421">
            <v>0</v>
          </cell>
        </row>
        <row r="422">
          <cell r="A422" t="str">
            <v>Sapucaia do Sul</v>
          </cell>
          <cell r="B422">
            <v>0.62713815902313863</v>
          </cell>
          <cell r="C422" t="str">
            <v>VALE DO RIO DOS SINOS</v>
          </cell>
          <cell r="D422">
            <v>0.72562565243362109</v>
          </cell>
          <cell r="E422">
            <v>0.46100000000000002</v>
          </cell>
          <cell r="F422">
            <v>0</v>
          </cell>
        </row>
        <row r="423">
          <cell r="A423" t="str">
            <v>Sarandi</v>
          </cell>
          <cell r="B423">
            <v>0.75659749344362237</v>
          </cell>
          <cell r="C423" t="str">
            <v>RIO DA VÁRZEA</v>
          </cell>
          <cell r="D423">
            <v>0.72404919405158363</v>
          </cell>
          <cell r="E423">
            <v>0.436</v>
          </cell>
          <cell r="F423">
            <v>0</v>
          </cell>
        </row>
        <row r="424">
          <cell r="A424" t="str">
            <v>Seberi</v>
          </cell>
          <cell r="B424">
            <v>0.69854063516346931</v>
          </cell>
          <cell r="C424" t="str">
            <v>MÉDIO ALTO URUGUAI</v>
          </cell>
          <cell r="D424">
            <v>0.67928410137535544</v>
          </cell>
          <cell r="E424">
            <v>0.56779999999999997</v>
          </cell>
          <cell r="F424">
            <v>0</v>
          </cell>
        </row>
        <row r="425">
          <cell r="A425" t="str">
            <v>Sede Nova</v>
          </cell>
          <cell r="B425">
            <v>0.70113961705171135</v>
          </cell>
          <cell r="C425" t="str">
            <v>CELEIRO</v>
          </cell>
          <cell r="D425">
            <v>0.67867533380807732</v>
          </cell>
          <cell r="E425">
            <v>0.58379999999999999</v>
          </cell>
          <cell r="F425">
            <v>3</v>
          </cell>
        </row>
        <row r="426">
          <cell r="A426" t="str">
            <v>Segredo</v>
          </cell>
          <cell r="B426">
            <v>0.60437226676585443</v>
          </cell>
          <cell r="C426" t="str">
            <v>VALE DO RIO PARDO</v>
          </cell>
          <cell r="D426">
            <v>0.74524357951881126</v>
          </cell>
          <cell r="E426">
            <v>0.58579999999999999</v>
          </cell>
          <cell r="F426">
            <v>0</v>
          </cell>
        </row>
        <row r="427">
          <cell r="A427" t="str">
            <v>Selbach</v>
          </cell>
          <cell r="B427">
            <v>0.78636647896616585</v>
          </cell>
          <cell r="C427" t="str">
            <v>ALTO JACUÍ</v>
          </cell>
          <cell r="D427">
            <v>0.80731012575366412</v>
          </cell>
          <cell r="E427">
            <v>0.35880000000000001</v>
          </cell>
          <cell r="F427">
            <v>0</v>
          </cell>
        </row>
        <row r="428">
          <cell r="A428" t="str">
            <v>Senador Salgado Filho</v>
          </cell>
          <cell r="B428">
            <v>0.70041531152029479</v>
          </cell>
          <cell r="C428" t="str">
            <v>FRONTEIRA NOROESTE</v>
          </cell>
          <cell r="D428">
            <v>0.76178573110532932</v>
          </cell>
          <cell r="E428">
            <v>0.5554</v>
          </cell>
          <cell r="F428">
            <v>0</v>
          </cell>
        </row>
        <row r="429">
          <cell r="A429" t="str">
            <v>Sentinela do Sul</v>
          </cell>
          <cell r="B429">
            <v>0.58584746710505375</v>
          </cell>
          <cell r="C429" t="str">
            <v>CENTRO SUL</v>
          </cell>
          <cell r="D429">
            <v>0.63962091655125897</v>
          </cell>
          <cell r="E429">
            <v>0.60799999999999998</v>
          </cell>
          <cell r="F429">
            <v>3</v>
          </cell>
        </row>
        <row r="430">
          <cell r="A430" t="str">
            <v>Serafina Corrêa</v>
          </cell>
          <cell r="B430">
            <v>0.78157229976317333</v>
          </cell>
          <cell r="C430" t="str">
            <v>SERRA</v>
          </cell>
          <cell r="D430">
            <v>0.81824158171645489</v>
          </cell>
          <cell r="E430">
            <v>0.2868</v>
          </cell>
          <cell r="F430">
            <v>5</v>
          </cell>
        </row>
        <row r="431">
          <cell r="A431" t="str">
            <v>Sério</v>
          </cell>
          <cell r="B431">
            <v>0.61321647652773803</v>
          </cell>
          <cell r="C431" t="str">
            <v>VALE DO TAQUARI</v>
          </cell>
          <cell r="D431">
            <v>0.75064951742439223</v>
          </cell>
          <cell r="E431">
            <v>0.53979999999999995</v>
          </cell>
          <cell r="F431">
            <v>1</v>
          </cell>
        </row>
        <row r="432">
          <cell r="A432" t="str">
            <v>Sertão</v>
          </cell>
          <cell r="B432">
            <v>0.77664567877275403</v>
          </cell>
          <cell r="C432" t="str">
            <v>NORTE</v>
          </cell>
          <cell r="D432">
            <v>0.7765417184743687</v>
          </cell>
          <cell r="E432">
            <v>0.38140000000000002</v>
          </cell>
          <cell r="F432" t="str">
            <v>2; 6</v>
          </cell>
        </row>
        <row r="433">
          <cell r="A433" t="str">
            <v>Sertão Santana</v>
          </cell>
          <cell r="B433">
            <v>0.67089280879902546</v>
          </cell>
          <cell r="C433" t="str">
            <v>CENTRO SUL</v>
          </cell>
          <cell r="D433">
            <v>0.63962091655125897</v>
          </cell>
          <cell r="E433">
            <v>0.49790000000000001</v>
          </cell>
          <cell r="F433">
            <v>0</v>
          </cell>
        </row>
        <row r="434">
          <cell r="A434" t="str">
            <v>Sete de Setembro</v>
          </cell>
          <cell r="B434">
            <v>0.70441148224928907</v>
          </cell>
          <cell r="C434" t="str">
            <v>MISSÕES</v>
          </cell>
          <cell r="D434">
            <v>0.70911796647033065</v>
          </cell>
          <cell r="E434">
            <v>0.5776</v>
          </cell>
          <cell r="F434">
            <v>0</v>
          </cell>
        </row>
        <row r="435">
          <cell r="A435" t="str">
            <v>Severiano de Almeida</v>
          </cell>
          <cell r="B435">
            <v>0.69835013892456765</v>
          </cell>
          <cell r="C435" t="str">
            <v>NORTE</v>
          </cell>
          <cell r="D435">
            <v>0.7765417184743687</v>
          </cell>
          <cell r="E435">
            <v>0.48549999999999999</v>
          </cell>
          <cell r="F435">
            <v>0</v>
          </cell>
        </row>
        <row r="436">
          <cell r="A436" t="str">
            <v>Silveira Martins</v>
          </cell>
          <cell r="B436">
            <v>0.63811263579410571</v>
          </cell>
          <cell r="C436" t="str">
            <v>CENTRAL</v>
          </cell>
          <cell r="D436">
            <v>0.70246145903597013</v>
          </cell>
          <cell r="E436">
            <v>0.59740000000000004</v>
          </cell>
          <cell r="F436">
            <v>5</v>
          </cell>
        </row>
        <row r="437">
          <cell r="A437" t="str">
            <v>Sinimbu</v>
          </cell>
          <cell r="B437">
            <v>0.60722160300088246</v>
          </cell>
          <cell r="C437" t="str">
            <v>VALE DO RIO PARDO</v>
          </cell>
          <cell r="D437">
            <v>0.74524357951881126</v>
          </cell>
          <cell r="E437">
            <v>0.56289999999999996</v>
          </cell>
          <cell r="F437">
            <v>0</v>
          </cell>
        </row>
        <row r="438">
          <cell r="A438" t="str">
            <v>Sobradinho</v>
          </cell>
          <cell r="B438">
            <v>0.66502742266425996</v>
          </cell>
          <cell r="C438" t="str">
            <v>VALE DO RIO PARDO</v>
          </cell>
          <cell r="D438">
            <v>0.74524357951881126</v>
          </cell>
          <cell r="E438">
            <v>0.5181</v>
          </cell>
          <cell r="F438">
            <v>0</v>
          </cell>
        </row>
        <row r="439">
          <cell r="A439" t="str">
            <v>Soledade</v>
          </cell>
          <cell r="B439">
            <v>0.65310856541149653</v>
          </cell>
          <cell r="C439" t="str">
            <v>ALTO DA SERRA DO BOTUCARAÍ</v>
          </cell>
          <cell r="D439">
            <v>0.67356568186234722</v>
          </cell>
          <cell r="E439">
            <v>0.54149999999999998</v>
          </cell>
          <cell r="F439" t="str">
            <v>1; 9</v>
          </cell>
        </row>
        <row r="440">
          <cell r="A440" t="str">
            <v>Tabaí</v>
          </cell>
          <cell r="B440">
            <v>0.64136346189707039</v>
          </cell>
          <cell r="C440" t="str">
            <v>VALE DO TAQUARI</v>
          </cell>
          <cell r="D440">
            <v>0.75064951742439223</v>
          </cell>
          <cell r="E440">
            <v>0.48980000000000001</v>
          </cell>
          <cell r="F440" t="str">
            <v>7; 10; 11</v>
          </cell>
        </row>
        <row r="441">
          <cell r="A441" t="str">
            <v>Tapejara</v>
          </cell>
          <cell r="B441">
            <v>0.75611100536022757</v>
          </cell>
          <cell r="C441" t="str">
            <v>NORDESTE</v>
          </cell>
          <cell r="D441">
            <v>0.73065139408555813</v>
          </cell>
          <cell r="E441">
            <v>0.38129999999999997</v>
          </cell>
          <cell r="F441">
            <v>0</v>
          </cell>
        </row>
        <row r="442">
          <cell r="A442" t="str">
            <v>Tapera</v>
          </cell>
          <cell r="B442">
            <v>0.74547570081926473</v>
          </cell>
          <cell r="C442" t="str">
            <v>ALTO JACUÍ</v>
          </cell>
          <cell r="D442">
            <v>0.80731012575366412</v>
          </cell>
          <cell r="E442">
            <v>0.38800000000000001</v>
          </cell>
          <cell r="F442">
            <v>0</v>
          </cell>
        </row>
        <row r="443">
          <cell r="A443" t="str">
            <v>Tapes</v>
          </cell>
          <cell r="B443">
            <v>0.60446074866386035</v>
          </cell>
          <cell r="C443" t="str">
            <v>CENTRO SUL</v>
          </cell>
          <cell r="D443">
            <v>0.63962091655125897</v>
          </cell>
          <cell r="E443">
            <v>0.58709999999999996</v>
          </cell>
          <cell r="F443">
            <v>0</v>
          </cell>
        </row>
        <row r="444">
          <cell r="A444" t="str">
            <v>Taquara</v>
          </cell>
          <cell r="B444">
            <v>0.63878859456476111</v>
          </cell>
          <cell r="C444" t="str">
            <v>PARANHANA ENCOSTA DA SERRA</v>
          </cell>
          <cell r="D444">
            <v>0.69507419923082692</v>
          </cell>
          <cell r="E444">
            <v>0.49959999999999999</v>
          </cell>
          <cell r="F444">
            <v>0</v>
          </cell>
        </row>
        <row r="445">
          <cell r="A445" t="str">
            <v>Taquari</v>
          </cell>
          <cell r="B445">
            <v>0.67566337951009614</v>
          </cell>
          <cell r="C445" t="str">
            <v>VALE DO TAQUARI</v>
          </cell>
          <cell r="D445">
            <v>0.75064951742439223</v>
          </cell>
          <cell r="E445">
            <v>0.42149999999999999</v>
          </cell>
          <cell r="F445">
            <v>4</v>
          </cell>
        </row>
        <row r="446">
          <cell r="A446" t="str">
            <v>Taquaruçu do Sul</v>
          </cell>
          <cell r="B446">
            <v>0.71792950150646606</v>
          </cell>
          <cell r="C446" t="str">
            <v>MÉDIO ALTO URUGUAI</v>
          </cell>
          <cell r="D446">
            <v>0.67928410137535544</v>
          </cell>
          <cell r="E446">
            <v>0.55579999999999996</v>
          </cell>
          <cell r="F446">
            <v>5</v>
          </cell>
        </row>
        <row r="447">
          <cell r="A447" t="str">
            <v>Tavares</v>
          </cell>
          <cell r="B447">
            <v>0.55082583822162456</v>
          </cell>
          <cell r="C447" t="str">
            <v>SUL</v>
          </cell>
          <cell r="D447">
            <v>0.65661703497098345</v>
          </cell>
          <cell r="E447">
            <v>0.66890000000000005</v>
          </cell>
          <cell r="F447">
            <v>0</v>
          </cell>
        </row>
        <row r="448">
          <cell r="A448" t="str">
            <v>Tenente Portela</v>
          </cell>
          <cell r="B448">
            <v>0.66231623579952814</v>
          </cell>
          <cell r="C448" t="str">
            <v>CELEIRO</v>
          </cell>
          <cell r="D448">
            <v>0.67867533380807732</v>
          </cell>
          <cell r="E448">
            <v>0.62639999999999996</v>
          </cell>
          <cell r="F448">
            <v>1</v>
          </cell>
        </row>
        <row r="449">
          <cell r="A449" t="str">
            <v>Terra de Areia</v>
          </cell>
          <cell r="B449">
            <v>0.57774969058028702</v>
          </cell>
          <cell r="C449" t="str">
            <v>LITORAL</v>
          </cell>
          <cell r="D449">
            <v>0.65197632440885878</v>
          </cell>
          <cell r="E449">
            <v>0.63060000000000005</v>
          </cell>
          <cell r="F449" t="str">
            <v>7; 10; 11</v>
          </cell>
        </row>
        <row r="450">
          <cell r="A450" t="str">
            <v>Teutônia</v>
          </cell>
          <cell r="B450">
            <v>0.77345520399159362</v>
          </cell>
          <cell r="C450" t="str">
            <v>VALE DO TAQUARI</v>
          </cell>
          <cell r="D450">
            <v>0.75064951742439223</v>
          </cell>
          <cell r="E450">
            <v>0.31590000000000001</v>
          </cell>
          <cell r="F450">
            <v>3</v>
          </cell>
        </row>
        <row r="451">
          <cell r="A451" t="str">
            <v>Tio Hugo</v>
          </cell>
          <cell r="B451">
            <v>0.75827202008183803</v>
          </cell>
          <cell r="C451" t="str">
            <v>ALTO DA SERRA DO BOTUCARAÍ</v>
          </cell>
          <cell r="D451">
            <v>0.67356568186234722</v>
          </cell>
          <cell r="E451">
            <v>0.44990000000000002</v>
          </cell>
          <cell r="F451">
            <v>0</v>
          </cell>
        </row>
        <row r="452">
          <cell r="A452" t="str">
            <v>Tiradentes do Sul</v>
          </cell>
          <cell r="B452">
            <v>0.61704657772864402</v>
          </cell>
          <cell r="C452" t="str">
            <v>CELEIRO</v>
          </cell>
          <cell r="D452">
            <v>0.67867533380807732</v>
          </cell>
          <cell r="E452">
            <v>0.68689999999999996</v>
          </cell>
          <cell r="F452">
            <v>0</v>
          </cell>
        </row>
        <row r="453">
          <cell r="A453" t="str">
            <v>Toropi</v>
          </cell>
          <cell r="B453">
            <v>0.66194645682264253</v>
          </cell>
          <cell r="C453" t="str">
            <v>CENTRAL</v>
          </cell>
          <cell r="D453">
            <v>0.70246145903597013</v>
          </cell>
          <cell r="E453">
            <v>0.60509999999999997</v>
          </cell>
          <cell r="F453">
            <v>0</v>
          </cell>
        </row>
        <row r="454">
          <cell r="A454" t="str">
            <v>Torres</v>
          </cell>
          <cell r="B454">
            <v>0.6892489385645475</v>
          </cell>
          <cell r="C454" t="str">
            <v>LITORAL</v>
          </cell>
          <cell r="D454">
            <v>0.65197632440885878</v>
          </cell>
          <cell r="E454">
            <v>0.51910000000000001</v>
          </cell>
          <cell r="F454">
            <v>0</v>
          </cell>
        </row>
        <row r="455">
          <cell r="A455" t="str">
            <v>Tramandaí</v>
          </cell>
          <cell r="B455">
            <v>0.5950601243319219</v>
          </cell>
          <cell r="C455" t="str">
            <v>LITORAL</v>
          </cell>
          <cell r="D455">
            <v>0.65197632440885878</v>
          </cell>
          <cell r="E455">
            <v>0.60319999999999996</v>
          </cell>
          <cell r="F455">
            <v>9</v>
          </cell>
        </row>
        <row r="456">
          <cell r="A456" t="str">
            <v>Travesseiro</v>
          </cell>
          <cell r="B456">
            <v>0.71539112391195891</v>
          </cell>
          <cell r="C456" t="str">
            <v>VALE DO TAQUARI</v>
          </cell>
          <cell r="D456">
            <v>0.75064951742439223</v>
          </cell>
          <cell r="E456">
            <v>0.39629999999999999</v>
          </cell>
          <cell r="F456">
            <v>0</v>
          </cell>
        </row>
        <row r="457">
          <cell r="A457" t="str">
            <v>Três Arroios</v>
          </cell>
          <cell r="B457">
            <v>0.78925886900195374</v>
          </cell>
          <cell r="C457" t="str">
            <v>NORTE</v>
          </cell>
          <cell r="D457">
            <v>0.7765417184743687</v>
          </cell>
          <cell r="E457">
            <v>0.38919999999999999</v>
          </cell>
          <cell r="F457">
            <v>1</v>
          </cell>
        </row>
        <row r="458">
          <cell r="A458" t="str">
            <v>Três Cachoeiras</v>
          </cell>
          <cell r="B458">
            <v>0.63009444481810672</v>
          </cell>
          <cell r="C458" t="str">
            <v>LITORAL</v>
          </cell>
          <cell r="D458">
            <v>0.65197632440885878</v>
          </cell>
          <cell r="E458">
            <v>0.57750000000000001</v>
          </cell>
          <cell r="F458">
            <v>0</v>
          </cell>
        </row>
        <row r="459">
          <cell r="A459" t="str">
            <v>Três Coroas</v>
          </cell>
          <cell r="B459">
            <v>0.74335086497817993</v>
          </cell>
          <cell r="C459" t="str">
            <v>PARANHANA ENCOSTA DA SERRA</v>
          </cell>
          <cell r="D459">
            <v>0.69507419923082692</v>
          </cell>
          <cell r="E459">
            <v>0.35320000000000001</v>
          </cell>
          <cell r="F459">
            <v>0</v>
          </cell>
        </row>
        <row r="460">
          <cell r="A460" t="str">
            <v>Três de Maio</v>
          </cell>
          <cell r="B460">
            <v>0.75459242150343642</v>
          </cell>
          <cell r="C460" t="str">
            <v>FRONTEIRA NOROESTE</v>
          </cell>
          <cell r="D460">
            <v>0.76178573110532932</v>
          </cell>
          <cell r="E460">
            <v>0.48580000000000001</v>
          </cell>
          <cell r="F460">
            <v>4</v>
          </cell>
        </row>
        <row r="461">
          <cell r="A461" t="str">
            <v>Três Forquilhas</v>
          </cell>
          <cell r="B461">
            <v>0.58999917391244372</v>
          </cell>
          <cell r="C461" t="str">
            <v>LITORAL</v>
          </cell>
          <cell r="D461">
            <v>0.65197632440885878</v>
          </cell>
          <cell r="E461">
            <v>0.61960000000000004</v>
          </cell>
          <cell r="F461">
            <v>0</v>
          </cell>
        </row>
        <row r="462">
          <cell r="A462" t="str">
            <v>Três Palmeiras</v>
          </cell>
          <cell r="B462">
            <v>0.68809658353461023</v>
          </cell>
          <cell r="C462" t="str">
            <v>RIO DA VÁRZEA</v>
          </cell>
          <cell r="D462">
            <v>0.72404919405158363</v>
          </cell>
          <cell r="E462">
            <v>0.53620000000000001</v>
          </cell>
          <cell r="F462">
            <v>1</v>
          </cell>
        </row>
        <row r="463">
          <cell r="A463" t="str">
            <v>Três Passos</v>
          </cell>
          <cell r="B463">
            <v>0.7006617242825216</v>
          </cell>
          <cell r="C463" t="str">
            <v>CELEIRO</v>
          </cell>
          <cell r="D463">
            <v>0.67867533380807732</v>
          </cell>
          <cell r="E463">
            <v>0.57889999999999997</v>
          </cell>
          <cell r="F463">
            <v>0</v>
          </cell>
        </row>
        <row r="464">
          <cell r="A464" t="str">
            <v>Trindade do Sul</v>
          </cell>
          <cell r="B464">
            <v>0.67582596902185721</v>
          </cell>
          <cell r="C464" t="str">
            <v>MÉDIO ALTO URUGUAI</v>
          </cell>
          <cell r="D464">
            <v>0.67928410137535544</v>
          </cell>
          <cell r="E464">
            <v>0.56840000000000002</v>
          </cell>
          <cell r="F464">
            <v>0</v>
          </cell>
        </row>
        <row r="465">
          <cell r="A465" t="str">
            <v>Triunfo</v>
          </cell>
          <cell r="B465">
            <v>0.89923249755990275</v>
          </cell>
          <cell r="C465" t="str">
            <v>METROPOLITANO DO DELTA DO JACUÍ</v>
          </cell>
          <cell r="D465">
            <v>0.77260399691033332</v>
          </cell>
          <cell r="E465">
            <v>0.1174</v>
          </cell>
          <cell r="F465">
            <v>0</v>
          </cell>
        </row>
        <row r="466">
          <cell r="A466" t="str">
            <v>Tucunduva</v>
          </cell>
          <cell r="B466">
            <v>0.74100852244412985</v>
          </cell>
          <cell r="C466" t="str">
            <v>FRONTEIRA NOROESTE</v>
          </cell>
          <cell r="D466">
            <v>0.76178573110532932</v>
          </cell>
          <cell r="E466">
            <v>0.51919999999999999</v>
          </cell>
          <cell r="F466">
            <v>0</v>
          </cell>
        </row>
        <row r="467">
          <cell r="A467" t="str">
            <v>Tunas</v>
          </cell>
          <cell r="B467">
            <v>0.59378223972633681</v>
          </cell>
          <cell r="C467" t="str">
            <v>VALE DO RIO PARDO</v>
          </cell>
          <cell r="D467">
            <v>0.74524357951881126</v>
          </cell>
          <cell r="E467">
            <v>0.59419999999999995</v>
          </cell>
          <cell r="F467">
            <v>0</v>
          </cell>
        </row>
        <row r="468">
          <cell r="A468" t="str">
            <v>Tupanci do Sul</v>
          </cell>
          <cell r="B468">
            <v>0.71541982161596851</v>
          </cell>
          <cell r="C468" t="str">
            <v>NORDESTE</v>
          </cell>
          <cell r="D468">
            <v>0.73065139408555813</v>
          </cell>
          <cell r="E468">
            <v>0.4587</v>
          </cell>
          <cell r="F468">
            <v>0</v>
          </cell>
        </row>
        <row r="469">
          <cell r="A469" t="str">
            <v>Tupanciretã</v>
          </cell>
          <cell r="B469">
            <v>0.78642034128573424</v>
          </cell>
          <cell r="C469" t="str">
            <v>CENTRAL</v>
          </cell>
          <cell r="D469">
            <v>0.70246145903597013</v>
          </cell>
          <cell r="E469">
            <v>0.45519999999999999</v>
          </cell>
          <cell r="F469">
            <v>0</v>
          </cell>
        </row>
        <row r="470">
          <cell r="A470" t="str">
            <v>Tupandi</v>
          </cell>
          <cell r="B470">
            <v>0.9070396838531336</v>
          </cell>
          <cell r="C470" t="str">
            <v>VALE DO CAÍ</v>
          </cell>
          <cell r="D470">
            <v>0.7467472529579271</v>
          </cell>
          <cell r="E470">
            <v>0.1341</v>
          </cell>
          <cell r="F470">
            <v>11</v>
          </cell>
        </row>
        <row r="471">
          <cell r="A471" t="str">
            <v>Tuparendi</v>
          </cell>
          <cell r="B471">
            <v>0.7217698434604185</v>
          </cell>
          <cell r="C471" t="str">
            <v>FRONTEIRA NOROESTE</v>
          </cell>
          <cell r="D471">
            <v>0.76178573110532932</v>
          </cell>
          <cell r="E471">
            <v>0.53620000000000001</v>
          </cell>
          <cell r="F471">
            <v>1</v>
          </cell>
        </row>
        <row r="472">
          <cell r="A472" t="str">
            <v>Turuçu</v>
          </cell>
          <cell r="B472">
            <v>0.63145953369972185</v>
          </cell>
          <cell r="C472" t="str">
            <v>SUL</v>
          </cell>
          <cell r="D472">
            <v>0.65661703497098345</v>
          </cell>
          <cell r="E472">
            <v>0.60529999999999995</v>
          </cell>
          <cell r="F472">
            <v>0</v>
          </cell>
        </row>
        <row r="473">
          <cell r="A473" t="str">
            <v>Ubiretama</v>
          </cell>
          <cell r="B473">
            <v>0.64506757118245617</v>
          </cell>
          <cell r="C473" t="str">
            <v>MISSÕES</v>
          </cell>
          <cell r="D473">
            <v>0.70911796647033065</v>
          </cell>
          <cell r="E473">
            <v>0.65239999999999998</v>
          </cell>
          <cell r="F473">
            <v>0</v>
          </cell>
        </row>
        <row r="474">
          <cell r="A474" t="str">
            <v>União da Serra</v>
          </cell>
          <cell r="B474">
            <v>0.76808723733007822</v>
          </cell>
          <cell r="C474" t="str">
            <v>SERRA</v>
          </cell>
          <cell r="D474">
            <v>0.81824158171645489</v>
          </cell>
          <cell r="E474">
            <v>0.33389999999999997</v>
          </cell>
          <cell r="F474">
            <v>5</v>
          </cell>
        </row>
        <row r="475">
          <cell r="A475" t="str">
            <v>Unistalda</v>
          </cell>
          <cell r="B475">
            <v>0.64029305707654416</v>
          </cell>
          <cell r="C475" t="str">
            <v>VALE DO JAGUARÍ</v>
          </cell>
          <cell r="D475">
            <v>0.6654549152476753</v>
          </cell>
          <cell r="E475">
            <v>0.69089999999999996</v>
          </cell>
          <cell r="F475">
            <v>0</v>
          </cell>
        </row>
        <row r="476">
          <cell r="A476" t="str">
            <v>Uruguaiana</v>
          </cell>
          <cell r="B476">
            <v>0.62083819577489829</v>
          </cell>
          <cell r="C476" t="str">
            <v>FRONTEIRA OESTE</v>
          </cell>
          <cell r="D476">
            <v>0.65191476396461001</v>
          </cell>
          <cell r="E476">
            <v>0.79790000000000005</v>
          </cell>
          <cell r="F476">
            <v>0</v>
          </cell>
        </row>
        <row r="477">
          <cell r="A477" t="str">
            <v>Vacaria</v>
          </cell>
          <cell r="B477">
            <v>0.69100708575424696</v>
          </cell>
          <cell r="C477" t="str">
            <v>CAMPOS DE CIMA DA SERRA</v>
          </cell>
          <cell r="D477">
            <v>0.72496322746909969</v>
          </cell>
          <cell r="E477">
            <v>0.45</v>
          </cell>
          <cell r="F477">
            <v>0</v>
          </cell>
        </row>
        <row r="478">
          <cell r="A478" t="str">
            <v>Vale do Sol</v>
          </cell>
          <cell r="B478">
            <v>0.59277788279317445</v>
          </cell>
          <cell r="C478" t="str">
            <v>VALE DO RIO PARDO</v>
          </cell>
          <cell r="D478">
            <v>0.74524357951881126</v>
          </cell>
          <cell r="E478">
            <v>0.58150000000000002</v>
          </cell>
          <cell r="F478">
            <v>0</v>
          </cell>
        </row>
        <row r="479">
          <cell r="A479" t="str">
            <v>Vale Real</v>
          </cell>
          <cell r="B479">
            <v>0.66217183759325093</v>
          </cell>
          <cell r="C479" t="str">
            <v>VALE DO CAÍ</v>
          </cell>
          <cell r="D479">
            <v>0.7467472529579271</v>
          </cell>
          <cell r="E479">
            <v>0.42959999999999998</v>
          </cell>
          <cell r="F479">
            <v>4</v>
          </cell>
        </row>
        <row r="480">
          <cell r="A480" t="str">
            <v>Vale Verde</v>
          </cell>
          <cell r="B480">
            <v>0.62945752525523979</v>
          </cell>
          <cell r="C480" t="str">
            <v>VALE DO RIO PARDO</v>
          </cell>
          <cell r="D480">
            <v>0.74524357951881126</v>
          </cell>
          <cell r="E480">
            <v>0.51939999999999997</v>
          </cell>
          <cell r="F480">
            <v>0</v>
          </cell>
        </row>
        <row r="481">
          <cell r="A481" t="str">
            <v>Vanini</v>
          </cell>
          <cell r="B481">
            <v>0.71497433410799205</v>
          </cell>
          <cell r="C481" t="str">
            <v>PRODUÇÃO</v>
          </cell>
          <cell r="D481">
            <v>0.77643264233807863</v>
          </cell>
          <cell r="E481">
            <v>0.41560000000000002</v>
          </cell>
          <cell r="F481">
            <v>0</v>
          </cell>
        </row>
        <row r="482">
          <cell r="A482" t="str">
            <v>Venâncio Aires</v>
          </cell>
          <cell r="B482">
            <v>0.77950239842078117</v>
          </cell>
          <cell r="C482" t="str">
            <v>VALE DO RIO PARDO</v>
          </cell>
          <cell r="D482">
            <v>0.74524357951881126</v>
          </cell>
          <cell r="E482">
            <v>0.3196</v>
          </cell>
          <cell r="F482">
            <v>4</v>
          </cell>
        </row>
        <row r="483">
          <cell r="A483" t="str">
            <v>Vera Cruz</v>
          </cell>
          <cell r="B483">
            <v>0.68351940292882374</v>
          </cell>
          <cell r="C483" t="str">
            <v>VALE DO RIO PARDO</v>
          </cell>
          <cell r="D483">
            <v>0.74524357951881126</v>
          </cell>
          <cell r="E483">
            <v>0.45610000000000001</v>
          </cell>
          <cell r="F483">
            <v>1</v>
          </cell>
        </row>
        <row r="484">
          <cell r="A484" t="str">
            <v>Veranópolis</v>
          </cell>
          <cell r="B484">
            <v>0.82395580092264498</v>
          </cell>
          <cell r="C484" t="str">
            <v>SERRA</v>
          </cell>
          <cell r="D484">
            <v>0.81824158171645489</v>
          </cell>
          <cell r="E484">
            <v>0.20219999999999999</v>
          </cell>
          <cell r="F484">
            <v>0</v>
          </cell>
        </row>
        <row r="485">
          <cell r="A485" t="str">
            <v>Vespasiano Correa</v>
          </cell>
          <cell r="B485">
            <v>0.72629200277376449</v>
          </cell>
          <cell r="C485" t="str">
            <v>VALE DO TAQUARI</v>
          </cell>
          <cell r="D485">
            <v>0.75064951742439223</v>
          </cell>
          <cell r="E485">
            <v>0.40300000000000002</v>
          </cell>
          <cell r="F485">
            <v>0</v>
          </cell>
        </row>
        <row r="486">
          <cell r="A486" t="str">
            <v>Viadutos</v>
          </cell>
          <cell r="B486">
            <v>0.70846354144548551</v>
          </cell>
          <cell r="C486" t="str">
            <v>NORTE</v>
          </cell>
          <cell r="D486">
            <v>0.7765417184743687</v>
          </cell>
          <cell r="E486">
            <v>0.46700000000000003</v>
          </cell>
          <cell r="F486">
            <v>0</v>
          </cell>
        </row>
        <row r="487">
          <cell r="A487" t="str">
            <v>Viamão</v>
          </cell>
          <cell r="B487">
            <v>0.52290475932801161</v>
          </cell>
          <cell r="C487" t="str">
            <v>METROPOLITANO DO DELTA DO JACUÍ</v>
          </cell>
          <cell r="D487">
            <v>0.77260399691033332</v>
          </cell>
          <cell r="E487">
            <v>0.56820000000000004</v>
          </cell>
          <cell r="F487">
            <v>0</v>
          </cell>
        </row>
        <row r="488">
          <cell r="A488" t="str">
            <v>Vicente Dutra</v>
          </cell>
          <cell r="B488">
            <v>0.58417998004209493</v>
          </cell>
          <cell r="C488" t="str">
            <v>MÉDIO ALTO URUGUAI</v>
          </cell>
          <cell r="D488">
            <v>0.67928410137535544</v>
          </cell>
          <cell r="E488">
            <v>0.70599999999999996</v>
          </cell>
          <cell r="F488">
            <v>0</v>
          </cell>
        </row>
        <row r="489">
          <cell r="A489" t="str">
            <v>Victor Graeff</v>
          </cell>
          <cell r="B489">
            <v>0.81843191478922472</v>
          </cell>
          <cell r="C489" t="str">
            <v>ALTO DA SERRA DO BOTUCARAÍ</v>
          </cell>
          <cell r="D489">
            <v>0.67356568186234722</v>
          </cell>
          <cell r="E489">
            <v>0.39190000000000003</v>
          </cell>
          <cell r="F489">
            <v>0</v>
          </cell>
        </row>
        <row r="490">
          <cell r="A490" t="str">
            <v>Vila Flores</v>
          </cell>
          <cell r="B490">
            <v>0.80525918364426574</v>
          </cell>
          <cell r="C490" t="str">
            <v>SERRA</v>
          </cell>
          <cell r="D490">
            <v>0.81824158171645489</v>
          </cell>
          <cell r="E490">
            <v>0.22869999999999999</v>
          </cell>
          <cell r="F490">
            <v>0</v>
          </cell>
        </row>
        <row r="491">
          <cell r="A491" t="str">
            <v>Vila Lângaro</v>
          </cell>
          <cell r="B491">
            <v>0.79123644099489832</v>
          </cell>
          <cell r="C491" t="str">
            <v>NORDESTE</v>
          </cell>
          <cell r="D491">
            <v>0.73065139408555813</v>
          </cell>
          <cell r="E491">
            <v>0.38090000000000002</v>
          </cell>
          <cell r="F491">
            <v>0</v>
          </cell>
        </row>
        <row r="492">
          <cell r="A492" t="str">
            <v>Vila Maria</v>
          </cell>
          <cell r="B492">
            <v>0.82136569069719001</v>
          </cell>
          <cell r="C492" t="str">
            <v>PRODUÇÃO</v>
          </cell>
          <cell r="D492">
            <v>0.77643264233807863</v>
          </cell>
          <cell r="E492">
            <v>0.30430000000000001</v>
          </cell>
          <cell r="F492">
            <v>0</v>
          </cell>
        </row>
        <row r="493">
          <cell r="A493" t="str">
            <v>Vila Nova do Sul</v>
          </cell>
          <cell r="B493">
            <v>0.65580308426234624</v>
          </cell>
          <cell r="C493" t="str">
            <v>JACUÍ CENTRO</v>
          </cell>
          <cell r="D493">
            <v>0.66683067195479895</v>
          </cell>
          <cell r="E493">
            <v>0.6008</v>
          </cell>
          <cell r="F493">
            <v>1</v>
          </cell>
        </row>
        <row r="494">
          <cell r="A494" t="str">
            <v>Vista Alegre</v>
          </cell>
          <cell r="B494">
            <v>0.68218335048707024</v>
          </cell>
          <cell r="C494" t="str">
            <v>MÉDIO ALTO URUGUAI</v>
          </cell>
          <cell r="D494">
            <v>0.67928410137535544</v>
          </cell>
          <cell r="E494">
            <v>0.59909999999999997</v>
          </cell>
          <cell r="F494">
            <v>0</v>
          </cell>
        </row>
        <row r="495">
          <cell r="A495" t="str">
            <v>Vista Alegre do Prata</v>
          </cell>
          <cell r="B495">
            <v>0.75425209191277964</v>
          </cell>
          <cell r="C495" t="str">
            <v>SERRA</v>
          </cell>
          <cell r="D495">
            <v>0.81824158171645489</v>
          </cell>
          <cell r="E495">
            <v>0.33889999999999998</v>
          </cell>
          <cell r="F495">
            <v>3</v>
          </cell>
        </row>
        <row r="496">
          <cell r="A496" t="str">
            <v>Vista Gaúcha</v>
          </cell>
          <cell r="B496">
            <v>0.68654391689370531</v>
          </cell>
          <cell r="C496" t="str">
            <v>CELEIRO</v>
          </cell>
          <cell r="D496">
            <v>0.67867533380807732</v>
          </cell>
          <cell r="E496">
            <v>0.60209999999999997</v>
          </cell>
          <cell r="F496">
            <v>0</v>
          </cell>
        </row>
        <row r="497">
          <cell r="A497" t="str">
            <v>Vitória das Missões</v>
          </cell>
          <cell r="B497">
            <v>0.64770733225636912</v>
          </cell>
          <cell r="C497" t="str">
            <v>MISSÕES</v>
          </cell>
          <cell r="D497">
            <v>0.70911796647033065</v>
          </cell>
          <cell r="E497">
            <v>0.6361</v>
          </cell>
          <cell r="F497">
            <v>0</v>
          </cell>
        </row>
        <row r="498">
          <cell r="A498" t="str">
            <v>Westfalia</v>
          </cell>
          <cell r="B498">
            <v>0.7948129217740354</v>
          </cell>
          <cell r="C498" t="str">
            <v>VALE DO TAQUARI</v>
          </cell>
          <cell r="D498">
            <v>0.75064951742439223</v>
          </cell>
          <cell r="E498">
            <v>0.2949</v>
          </cell>
          <cell r="F498">
            <v>0</v>
          </cell>
        </row>
      </sheetData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senvolvimento.rs.gov.br/programa-de-fortalecimento-das-cadeias-e-arranjos-produtivos-locais-apl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>
    <pageSetUpPr fitToPage="1"/>
  </sheetPr>
  <dimension ref="B1:W115"/>
  <sheetViews>
    <sheetView showGridLines="0" tabSelected="1" topLeftCell="B89" zoomScaleNormal="100" workbookViewId="0">
      <selection activeCell="G101" sqref="G101:P101"/>
    </sheetView>
  </sheetViews>
  <sheetFormatPr defaultColWidth="18.44140625" defaultRowHeight="0" customHeight="1" zeroHeight="1" x14ac:dyDescent="0.3"/>
  <cols>
    <col min="1" max="1" width="1.5546875" style="96" customWidth="1"/>
    <col min="2" max="2" width="4.109375" style="96" customWidth="1"/>
    <col min="3" max="3" width="8.5546875" style="96" customWidth="1"/>
    <col min="4" max="4" width="8.6640625" style="96" customWidth="1"/>
    <col min="5" max="5" width="6.33203125" style="96" customWidth="1"/>
    <col min="6" max="6" width="17.33203125" style="96" customWidth="1"/>
    <col min="7" max="7" width="3.44140625" style="96" customWidth="1"/>
    <col min="8" max="8" width="16.5546875" style="96" customWidth="1"/>
    <col min="9" max="9" width="7.109375" style="96" customWidth="1"/>
    <col min="10" max="10" width="14.33203125" style="96" customWidth="1"/>
    <col min="11" max="11" width="5.33203125" style="96" customWidth="1"/>
    <col min="12" max="12" width="7.109375" style="96" customWidth="1"/>
    <col min="13" max="13" width="15.5546875" style="96" customWidth="1"/>
    <col min="14" max="14" width="13.33203125" style="96" customWidth="1"/>
    <col min="15" max="15" width="10.6640625" style="96" customWidth="1"/>
    <col min="16" max="16" width="10" style="96" customWidth="1"/>
    <col min="17" max="17" width="20.5546875" style="96" customWidth="1"/>
    <col min="18" max="18" width="17" style="96" customWidth="1"/>
    <col min="19" max="19" width="7.109375" style="96" customWidth="1"/>
    <col min="20" max="16384" width="18.44140625" style="96"/>
  </cols>
  <sheetData>
    <row r="1" spans="2:19" ht="9" customHeight="1" thickBot="1" x14ac:dyDescent="0.35"/>
    <row r="2" spans="2:19" ht="20.25" customHeight="1" x14ac:dyDescent="0.3">
      <c r="B2" s="314" t="s">
        <v>0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6"/>
    </row>
    <row r="3" spans="2:19" ht="20.25" customHeight="1" thickBot="1" x14ac:dyDescent="0.35">
      <c r="B3" s="321" t="s">
        <v>1550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3"/>
    </row>
    <row r="4" spans="2:19" ht="15" customHeight="1" x14ac:dyDescent="0.3">
      <c r="B4" s="172"/>
      <c r="C4" s="173"/>
      <c r="D4" s="22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5"/>
    </row>
    <row r="5" spans="2:19" ht="15.75" customHeight="1" thickBot="1" x14ac:dyDescent="0.35">
      <c r="B5" s="172"/>
      <c r="C5" s="293" t="s">
        <v>1531</v>
      </c>
      <c r="D5" s="294"/>
      <c r="E5" s="173"/>
      <c r="F5" s="174" t="s">
        <v>7</v>
      </c>
      <c r="G5" s="173"/>
      <c r="H5" s="173"/>
      <c r="I5" s="173"/>
      <c r="J5" s="173"/>
      <c r="K5" s="173"/>
      <c r="L5" s="173"/>
      <c r="M5" s="173"/>
      <c r="N5" s="299" t="s">
        <v>1567</v>
      </c>
      <c r="O5" s="299"/>
      <c r="P5" s="299"/>
      <c r="Q5" s="299"/>
      <c r="R5" s="299"/>
      <c r="S5" s="175"/>
    </row>
    <row r="6" spans="2:19" ht="15.75" customHeight="1" thickBot="1" x14ac:dyDescent="0.35">
      <c r="B6" s="172"/>
      <c r="C6" s="295"/>
      <c r="D6" s="296"/>
      <c r="E6" s="173"/>
      <c r="F6" s="218" t="s">
        <v>1</v>
      </c>
      <c r="G6" s="173"/>
      <c r="H6" s="173"/>
      <c r="I6" s="173"/>
      <c r="J6" s="173"/>
      <c r="K6" s="173"/>
      <c r="L6" s="173"/>
      <c r="M6" s="173"/>
      <c r="N6" s="311">
        <v>0</v>
      </c>
      <c r="O6" s="312"/>
      <c r="P6" s="173"/>
      <c r="Q6" s="173"/>
      <c r="R6" s="173"/>
      <c r="S6" s="175"/>
    </row>
    <row r="7" spans="2:19" ht="15" customHeight="1" x14ac:dyDescent="0.3">
      <c r="B7" s="172"/>
      <c r="C7" s="295"/>
      <c r="D7" s="296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5"/>
    </row>
    <row r="8" spans="2:19" ht="15.75" customHeight="1" thickBot="1" x14ac:dyDescent="0.35">
      <c r="B8" s="172"/>
      <c r="C8" s="295"/>
      <c r="D8" s="296"/>
      <c r="E8" s="173"/>
      <c r="F8" s="174" t="s">
        <v>1551</v>
      </c>
      <c r="G8" s="173"/>
      <c r="H8" s="173"/>
      <c r="I8" s="324" t="s">
        <v>1552</v>
      </c>
      <c r="J8" s="324"/>
      <c r="K8" s="173"/>
      <c r="L8" s="173"/>
      <c r="M8" s="173"/>
      <c r="N8" s="301" t="s">
        <v>1577</v>
      </c>
      <c r="O8" s="301"/>
      <c r="P8" s="301"/>
      <c r="Q8" s="301"/>
      <c r="R8" s="173"/>
      <c r="S8" s="175"/>
    </row>
    <row r="9" spans="2:19" ht="15.75" customHeight="1" thickBot="1" x14ac:dyDescent="0.35">
      <c r="B9" s="172"/>
      <c r="C9" s="295"/>
      <c r="D9" s="296"/>
      <c r="E9" s="173"/>
      <c r="F9" s="284" t="s">
        <v>1</v>
      </c>
      <c r="G9" s="286"/>
      <c r="H9" s="173"/>
      <c r="I9" s="173"/>
      <c r="J9" s="173"/>
      <c r="K9" s="173"/>
      <c r="L9" s="173"/>
      <c r="M9" s="173"/>
      <c r="N9" s="317">
        <v>0</v>
      </c>
      <c r="O9" s="318"/>
      <c r="P9" s="176"/>
      <c r="Q9" s="173"/>
      <c r="R9" s="173"/>
      <c r="S9" s="175"/>
    </row>
    <row r="10" spans="2:19" ht="15" customHeight="1" x14ac:dyDescent="0.3">
      <c r="B10" s="172"/>
      <c r="C10" s="295"/>
      <c r="D10" s="296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5"/>
    </row>
    <row r="11" spans="2:19" ht="15.75" customHeight="1" thickBot="1" x14ac:dyDescent="0.35">
      <c r="B11" s="172"/>
      <c r="C11" s="295"/>
      <c r="D11" s="296"/>
      <c r="E11" s="173"/>
      <c r="F11" s="174" t="s">
        <v>1576</v>
      </c>
      <c r="G11" s="173"/>
      <c r="H11" s="173"/>
      <c r="I11" s="173"/>
      <c r="J11" s="174"/>
      <c r="K11" s="173"/>
      <c r="L11" s="173"/>
      <c r="M11" s="173"/>
      <c r="N11" s="299" t="s">
        <v>3</v>
      </c>
      <c r="O11" s="299"/>
      <c r="P11" s="173"/>
      <c r="Q11" s="173"/>
      <c r="R11" s="173"/>
      <c r="S11" s="175"/>
    </row>
    <row r="12" spans="2:19" ht="15.75" customHeight="1" thickBot="1" x14ac:dyDescent="0.35">
      <c r="B12" s="172"/>
      <c r="C12" s="297"/>
      <c r="D12" s="298"/>
      <c r="E12" s="173"/>
      <c r="F12" s="325">
        <v>0</v>
      </c>
      <c r="G12" s="326"/>
      <c r="H12" s="173"/>
      <c r="I12" s="173"/>
      <c r="J12" s="173"/>
      <c r="K12" s="173"/>
      <c r="L12" s="173"/>
      <c r="M12" s="173"/>
      <c r="N12" s="319" t="str">
        <f>IF(N9=0,"",IF(N9&lt;'Faixas e condições'!E11,'Faixas e condições'!F11,IF(N9&lt;'Faixas e condições'!E12,'Faixas e condições'!F12,'Faixas e condições'!F13)))</f>
        <v/>
      </c>
      <c r="O12" s="320"/>
      <c r="P12" s="173"/>
      <c r="Q12" s="173"/>
      <c r="R12" s="173"/>
      <c r="S12" s="175"/>
    </row>
    <row r="13" spans="2:19" ht="15" customHeight="1" thickBot="1" x14ac:dyDescent="0.35">
      <c r="B13" s="178"/>
      <c r="C13" s="179"/>
      <c r="D13" s="180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81"/>
    </row>
    <row r="14" spans="2:19" ht="15" customHeight="1" x14ac:dyDescent="0.3">
      <c r="B14" s="168"/>
      <c r="C14" s="169"/>
      <c r="D14" s="170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71"/>
    </row>
    <row r="15" spans="2:19" ht="15.75" customHeight="1" thickBot="1" x14ac:dyDescent="0.35">
      <c r="B15" s="172"/>
      <c r="C15" s="293" t="s">
        <v>1532</v>
      </c>
      <c r="D15" s="294"/>
      <c r="E15" s="173"/>
      <c r="F15" s="287" t="s">
        <v>1534</v>
      </c>
      <c r="G15" s="287"/>
      <c r="H15" s="287"/>
      <c r="I15" s="287"/>
      <c r="J15" s="182"/>
      <c r="K15" s="182"/>
      <c r="L15" s="182"/>
      <c r="M15" s="182"/>
      <c r="N15" s="182"/>
      <c r="O15" s="292" t="str">
        <f>IF(F16="Selecione","",IF(VALUE(LEFT(F16,2))=29,"Fabricação de veículo automotor elétrico?",""))</f>
        <v/>
      </c>
      <c r="P15" s="292"/>
      <c r="Q15" s="292"/>
      <c r="R15" s="173"/>
      <c r="S15" s="175"/>
    </row>
    <row r="16" spans="2:19" ht="15.75" customHeight="1" thickBot="1" x14ac:dyDescent="0.35">
      <c r="B16" s="172"/>
      <c r="C16" s="295"/>
      <c r="D16" s="296"/>
      <c r="E16" s="173"/>
      <c r="F16" s="219" t="s">
        <v>1</v>
      </c>
      <c r="G16" s="183"/>
      <c r="H16" s="288" t="str">
        <f>IFERROR(VLOOKUP(F16,CNAEs!B3:D402,2,0),"Selecionar CNAE")</f>
        <v>Selecionar CNAE</v>
      </c>
      <c r="I16" s="289"/>
      <c r="J16" s="289"/>
      <c r="K16" s="289"/>
      <c r="L16" s="289"/>
      <c r="M16" s="289"/>
      <c r="N16" s="289"/>
      <c r="O16" s="290"/>
      <c r="P16" s="290"/>
      <c r="Q16" s="291"/>
      <c r="R16" s="173"/>
      <c r="S16" s="175"/>
    </row>
    <row r="17" spans="2:19" ht="15" customHeight="1" x14ac:dyDescent="0.3">
      <c r="B17" s="172"/>
      <c r="C17" s="295"/>
      <c r="D17" s="296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5"/>
    </row>
    <row r="18" spans="2:19" ht="15.75" customHeight="1" thickBot="1" x14ac:dyDescent="0.35">
      <c r="B18" s="172"/>
      <c r="C18" s="295"/>
      <c r="D18" s="296"/>
      <c r="E18" s="173"/>
      <c r="F18" s="299" t="s">
        <v>4</v>
      </c>
      <c r="G18" s="299"/>
      <c r="H18" s="299"/>
      <c r="I18" s="173"/>
      <c r="J18" s="173"/>
      <c r="K18" s="173"/>
      <c r="L18" s="173"/>
      <c r="M18" s="173"/>
      <c r="N18" s="301" t="s">
        <v>893</v>
      </c>
      <c r="O18" s="301"/>
      <c r="P18" s="301"/>
      <c r="Q18" s="173"/>
      <c r="R18" s="173"/>
      <c r="S18" s="175"/>
    </row>
    <row r="19" spans="2:19" ht="15.75" customHeight="1" thickBot="1" x14ac:dyDescent="0.35">
      <c r="B19" s="172"/>
      <c r="C19" s="295"/>
      <c r="D19" s="296"/>
      <c r="E19" s="173"/>
      <c r="F19" s="302" t="s">
        <v>1</v>
      </c>
      <c r="G19" s="303"/>
      <c r="H19" s="304"/>
      <c r="I19" s="173"/>
      <c r="J19" s="173"/>
      <c r="K19" s="173"/>
      <c r="L19" s="173"/>
      <c r="M19" s="173"/>
      <c r="N19" s="284" t="s">
        <v>1</v>
      </c>
      <c r="O19" s="285"/>
      <c r="P19" s="285"/>
      <c r="Q19" s="286"/>
      <c r="R19" s="173"/>
      <c r="S19" s="175"/>
    </row>
    <row r="20" spans="2:19" ht="15" customHeight="1" x14ac:dyDescent="0.3">
      <c r="B20" s="172"/>
      <c r="C20" s="295"/>
      <c r="D20" s="296"/>
      <c r="E20" s="173"/>
      <c r="F20" s="173"/>
      <c r="G20" s="173"/>
      <c r="H20" s="173"/>
      <c r="I20" s="173"/>
      <c r="J20" s="173"/>
      <c r="K20" s="173"/>
      <c r="L20" s="173"/>
      <c r="M20" s="173"/>
      <c r="N20" s="209"/>
      <c r="O20" s="209"/>
      <c r="P20" s="209"/>
      <c r="Q20" s="209"/>
      <c r="R20" s="209"/>
      <c r="S20" s="175"/>
    </row>
    <row r="21" spans="2:19" ht="15.75" customHeight="1" thickBot="1" x14ac:dyDescent="0.35">
      <c r="B21" s="172"/>
      <c r="C21" s="295"/>
      <c r="D21" s="296"/>
      <c r="E21" s="173"/>
      <c r="F21" s="299" t="s">
        <v>1523</v>
      </c>
      <c r="G21" s="299"/>
      <c r="H21" s="299"/>
      <c r="I21" s="283" t="s">
        <v>1533</v>
      </c>
      <c r="J21" s="283"/>
      <c r="K21" s="283"/>
      <c r="L21" s="173"/>
      <c r="M21" s="173"/>
      <c r="N21" s="225" t="s">
        <v>1535</v>
      </c>
      <c r="O21" s="225"/>
      <c r="P21" s="225"/>
      <c r="Q21" s="225"/>
      <c r="R21" s="209"/>
      <c r="S21" s="175"/>
    </row>
    <row r="22" spans="2:19" ht="15.75" customHeight="1" thickBot="1" x14ac:dyDescent="0.35">
      <c r="B22" s="172"/>
      <c r="C22" s="295"/>
      <c r="D22" s="296"/>
      <c r="E22" s="173"/>
      <c r="F22" s="302" t="s">
        <v>1</v>
      </c>
      <c r="G22" s="303"/>
      <c r="H22" s="304"/>
      <c r="I22" s="308">
        <v>0</v>
      </c>
      <c r="J22" s="309"/>
      <c r="K22" s="310"/>
      <c r="L22" s="173"/>
      <c r="M22" s="173"/>
      <c r="N22" s="284" t="s">
        <v>1</v>
      </c>
      <c r="O22" s="285"/>
      <c r="P22" s="285"/>
      <c r="Q22" s="286"/>
      <c r="R22" s="209"/>
      <c r="S22" s="175"/>
    </row>
    <row r="23" spans="2:19" ht="7.5" customHeight="1" thickBot="1" x14ac:dyDescent="0.35">
      <c r="B23" s="172"/>
      <c r="C23" s="295"/>
      <c r="D23" s="296"/>
      <c r="E23" s="173"/>
      <c r="F23" s="173"/>
      <c r="G23" s="173"/>
      <c r="H23" s="173"/>
      <c r="I23" s="173"/>
      <c r="J23" s="173"/>
      <c r="K23" s="173"/>
      <c r="L23" s="173"/>
      <c r="M23" s="173"/>
      <c r="N23" s="209"/>
      <c r="O23" s="209"/>
      <c r="P23" s="209"/>
      <c r="Q23" s="209"/>
      <c r="R23" s="173"/>
      <c r="S23" s="175"/>
    </row>
    <row r="24" spans="2:19" ht="15.75" customHeight="1" thickBot="1" x14ac:dyDescent="0.35">
      <c r="B24" s="172"/>
      <c r="C24" s="295"/>
      <c r="D24" s="296"/>
      <c r="E24" s="173"/>
      <c r="F24" s="302" t="s">
        <v>1</v>
      </c>
      <c r="G24" s="303"/>
      <c r="H24" s="304"/>
      <c r="I24" s="308">
        <v>0</v>
      </c>
      <c r="J24" s="309"/>
      <c r="K24" s="310"/>
      <c r="L24" s="173"/>
      <c r="M24" s="173"/>
      <c r="N24" s="365" t="s">
        <v>1564</v>
      </c>
      <c r="O24" s="365"/>
      <c r="P24" s="365"/>
      <c r="Q24" s="365"/>
      <c r="R24" s="365"/>
      <c r="S24" s="175"/>
    </row>
    <row r="25" spans="2:19" ht="7.5" customHeight="1" thickBot="1" x14ac:dyDescent="0.35">
      <c r="B25" s="172"/>
      <c r="C25" s="295"/>
      <c r="D25" s="296"/>
      <c r="E25" s="173"/>
      <c r="F25" s="173"/>
      <c r="G25" s="173"/>
      <c r="H25" s="173"/>
      <c r="I25" s="173"/>
      <c r="J25" s="173"/>
      <c r="K25" s="173"/>
      <c r="L25" s="173"/>
      <c r="M25" s="173"/>
      <c r="N25" s="365"/>
      <c r="O25" s="365"/>
      <c r="P25" s="365"/>
      <c r="Q25" s="365"/>
      <c r="R25" s="365"/>
      <c r="S25" s="175"/>
    </row>
    <row r="26" spans="2:19" ht="15.75" customHeight="1" thickBot="1" x14ac:dyDescent="0.35">
      <c r="B26" s="172"/>
      <c r="C26" s="295"/>
      <c r="D26" s="296"/>
      <c r="E26" s="173"/>
      <c r="F26" s="302" t="s">
        <v>1</v>
      </c>
      <c r="G26" s="303"/>
      <c r="H26" s="304"/>
      <c r="I26" s="308">
        <v>0</v>
      </c>
      <c r="J26" s="309"/>
      <c r="K26" s="310"/>
      <c r="L26" s="173"/>
      <c r="M26" s="173"/>
      <c r="N26" s="365"/>
      <c r="O26" s="365"/>
      <c r="P26" s="365"/>
      <c r="Q26" s="365"/>
      <c r="R26" s="365"/>
      <c r="S26" s="175"/>
    </row>
    <row r="27" spans="2:19" ht="7.5" customHeight="1" thickBot="1" x14ac:dyDescent="0.35">
      <c r="B27" s="172"/>
      <c r="C27" s="295"/>
      <c r="D27" s="296"/>
      <c r="E27" s="173"/>
      <c r="F27" s="173"/>
      <c r="G27" s="173"/>
      <c r="H27" s="173"/>
      <c r="I27" s="173"/>
      <c r="J27" s="173"/>
      <c r="K27" s="173"/>
      <c r="L27" s="173"/>
      <c r="M27" s="173"/>
      <c r="N27" s="365"/>
      <c r="O27" s="365"/>
      <c r="P27" s="365"/>
      <c r="Q27" s="365"/>
      <c r="R27" s="365"/>
      <c r="S27" s="175"/>
    </row>
    <row r="28" spans="2:19" ht="15.75" customHeight="1" thickBot="1" x14ac:dyDescent="0.35">
      <c r="B28" s="172"/>
      <c r="C28" s="295"/>
      <c r="D28" s="296"/>
      <c r="E28" s="173"/>
      <c r="F28" s="302" t="s">
        <v>1</v>
      </c>
      <c r="G28" s="303"/>
      <c r="H28" s="304"/>
      <c r="I28" s="308">
        <v>0</v>
      </c>
      <c r="J28" s="309"/>
      <c r="K28" s="310"/>
      <c r="L28" s="173"/>
      <c r="M28" s="173"/>
      <c r="N28" s="311">
        <v>0</v>
      </c>
      <c r="O28" s="312"/>
      <c r="P28" s="209"/>
      <c r="Q28" s="209"/>
      <c r="R28" s="209"/>
      <c r="S28" s="175"/>
    </row>
    <row r="29" spans="2:19" ht="7.5" customHeight="1" thickBot="1" x14ac:dyDescent="0.35">
      <c r="B29" s="172"/>
      <c r="C29" s="295"/>
      <c r="D29" s="296"/>
      <c r="E29" s="173"/>
      <c r="F29" s="173"/>
      <c r="G29" s="173"/>
      <c r="H29" s="173"/>
      <c r="I29" s="173"/>
      <c r="J29" s="173"/>
      <c r="K29" s="173"/>
      <c r="L29" s="173"/>
      <c r="M29" s="173"/>
      <c r="N29" s="209"/>
      <c r="O29" s="209"/>
      <c r="P29" s="209"/>
      <c r="Q29" s="209"/>
      <c r="R29" s="209"/>
      <c r="S29" s="175"/>
    </row>
    <row r="30" spans="2:19" ht="15.75" customHeight="1" thickBot="1" x14ac:dyDescent="0.35">
      <c r="B30" s="172"/>
      <c r="C30" s="295"/>
      <c r="D30" s="296"/>
      <c r="E30" s="173"/>
      <c r="F30" s="302" t="s">
        <v>1</v>
      </c>
      <c r="G30" s="303"/>
      <c r="H30" s="304"/>
      <c r="I30" s="308">
        <v>0</v>
      </c>
      <c r="J30" s="309"/>
      <c r="K30" s="310"/>
      <c r="L30" s="173"/>
      <c r="M30" s="173"/>
      <c r="N30" s="313" t="s">
        <v>1572</v>
      </c>
      <c r="O30" s="313"/>
      <c r="P30" s="313"/>
      <c r="Q30" s="313"/>
      <c r="R30" s="313"/>
      <c r="S30" s="175"/>
    </row>
    <row r="31" spans="2:19" ht="7.5" customHeight="1" thickBot="1" x14ac:dyDescent="0.35">
      <c r="B31" s="172"/>
      <c r="C31" s="295"/>
      <c r="D31" s="296"/>
      <c r="E31" s="173"/>
      <c r="F31" s="173"/>
      <c r="G31" s="173"/>
      <c r="H31" s="173"/>
      <c r="I31" s="173"/>
      <c r="J31" s="173"/>
      <c r="K31" s="173"/>
      <c r="L31" s="173"/>
      <c r="M31" s="173"/>
      <c r="N31" s="313"/>
      <c r="O31" s="313"/>
      <c r="P31" s="313"/>
      <c r="Q31" s="313"/>
      <c r="R31" s="313"/>
      <c r="S31" s="175"/>
    </row>
    <row r="32" spans="2:19" ht="15.75" customHeight="1" thickBot="1" x14ac:dyDescent="0.35">
      <c r="B32" s="172"/>
      <c r="C32" s="295"/>
      <c r="D32" s="296"/>
      <c r="E32" s="173"/>
      <c r="F32" s="302" t="s">
        <v>1</v>
      </c>
      <c r="G32" s="303"/>
      <c r="H32" s="304"/>
      <c r="I32" s="308">
        <v>0</v>
      </c>
      <c r="J32" s="309"/>
      <c r="K32" s="310"/>
      <c r="L32" s="173"/>
      <c r="M32" s="173"/>
      <c r="N32" s="313"/>
      <c r="O32" s="313"/>
      <c r="P32" s="313"/>
      <c r="Q32" s="313"/>
      <c r="R32" s="313"/>
      <c r="S32" s="175"/>
    </row>
    <row r="33" spans="2:19" ht="7.5" customHeight="1" thickBot="1" x14ac:dyDescent="0.35">
      <c r="B33" s="172"/>
      <c r="C33" s="295"/>
      <c r="D33" s="296"/>
      <c r="E33" s="173"/>
      <c r="F33" s="173"/>
      <c r="G33" s="173"/>
      <c r="H33" s="173"/>
      <c r="I33" s="173"/>
      <c r="J33" s="173"/>
      <c r="K33" s="173"/>
      <c r="L33" s="173"/>
      <c r="M33" s="173"/>
      <c r="N33" s="313"/>
      <c r="O33" s="313"/>
      <c r="P33" s="313"/>
      <c r="Q33" s="313"/>
      <c r="R33" s="313"/>
      <c r="S33" s="175"/>
    </row>
    <row r="34" spans="2:19" ht="15.75" customHeight="1" thickBot="1" x14ac:dyDescent="0.35">
      <c r="B34" s="172"/>
      <c r="C34" s="295"/>
      <c r="D34" s="296"/>
      <c r="E34" s="173"/>
      <c r="F34" s="173"/>
      <c r="G34" s="173"/>
      <c r="H34" s="173"/>
      <c r="I34" s="173"/>
      <c r="J34" s="173"/>
      <c r="K34" s="173"/>
      <c r="L34" s="173"/>
      <c r="M34" s="173"/>
      <c r="N34" s="284" t="s">
        <v>1</v>
      </c>
      <c r="O34" s="286"/>
      <c r="P34" s="173"/>
      <c r="Q34" s="173"/>
      <c r="R34" s="173"/>
      <c r="S34" s="175"/>
    </row>
    <row r="35" spans="2:19" ht="15" customHeight="1" x14ac:dyDescent="0.3">
      <c r="B35" s="172"/>
      <c r="C35" s="295"/>
      <c r="D35" s="296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5"/>
    </row>
    <row r="36" spans="2:19" ht="15.75" customHeight="1" thickBot="1" x14ac:dyDescent="0.35">
      <c r="B36" s="172"/>
      <c r="C36" s="295"/>
      <c r="D36" s="296"/>
      <c r="E36" s="173"/>
      <c r="F36" s="300" t="s">
        <v>902</v>
      </c>
      <c r="G36" s="300"/>
      <c r="H36" s="300"/>
      <c r="I36" s="300" t="s">
        <v>1566</v>
      </c>
      <c r="J36" s="300"/>
      <c r="K36" s="300"/>
      <c r="L36" s="300"/>
      <c r="M36" s="300"/>
      <c r="N36" s="300"/>
      <c r="O36" s="209"/>
      <c r="P36" s="301" t="s">
        <v>1578</v>
      </c>
      <c r="Q36" s="301"/>
      <c r="R36" s="173"/>
      <c r="S36" s="175"/>
    </row>
    <row r="37" spans="2:19" ht="15.75" customHeight="1" thickBot="1" x14ac:dyDescent="0.35">
      <c r="B37" s="172"/>
      <c r="C37" s="297"/>
      <c r="D37" s="298"/>
      <c r="E37" s="173"/>
      <c r="F37" s="366">
        <f>SUM(I22,I24,I26,I28,I30,I32)</f>
        <v>0</v>
      </c>
      <c r="G37" s="367"/>
      <c r="H37" s="173"/>
      <c r="I37" s="305">
        <v>0</v>
      </c>
      <c r="J37" s="306"/>
      <c r="K37" s="307"/>
      <c r="L37" s="173"/>
      <c r="M37" s="209"/>
      <c r="N37" s="209"/>
      <c r="O37" s="209"/>
      <c r="P37" s="325">
        <v>0</v>
      </c>
      <c r="Q37" s="326"/>
      <c r="R37" s="173"/>
      <c r="S37" s="175"/>
    </row>
    <row r="38" spans="2:19" ht="15" customHeight="1" thickBot="1" x14ac:dyDescent="0.35">
      <c r="B38" s="178"/>
      <c r="C38" s="180"/>
      <c r="D38" s="180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81"/>
    </row>
    <row r="39" spans="2:19" ht="15" customHeight="1" x14ac:dyDescent="0.3">
      <c r="B39" s="168"/>
      <c r="C39" s="184"/>
      <c r="D39" s="184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71"/>
    </row>
    <row r="40" spans="2:19" s="187" customFormat="1" ht="15" customHeight="1" thickBot="1" x14ac:dyDescent="0.35">
      <c r="B40" s="185"/>
      <c r="C40" s="241" t="s">
        <v>1537</v>
      </c>
      <c r="D40" s="242"/>
      <c r="E40" s="173"/>
      <c r="F40" s="334" t="s">
        <v>1569</v>
      </c>
      <c r="G40" s="334"/>
      <c r="H40" s="334"/>
      <c r="I40" s="334"/>
      <c r="J40" s="334"/>
      <c r="K40" s="334"/>
      <c r="L40" s="177"/>
      <c r="M40" s="177"/>
      <c r="N40" s="333" t="s">
        <v>1545</v>
      </c>
      <c r="O40" s="333"/>
      <c r="P40" s="333"/>
      <c r="Q40" s="333"/>
      <c r="R40" s="173"/>
      <c r="S40" s="186"/>
    </row>
    <row r="41" spans="2:19" s="187" customFormat="1" ht="15" customHeight="1" thickBot="1" x14ac:dyDescent="0.35">
      <c r="B41" s="188"/>
      <c r="C41" s="243"/>
      <c r="D41" s="244"/>
      <c r="E41" s="177"/>
      <c r="F41" s="334"/>
      <c r="G41" s="334"/>
      <c r="H41" s="334"/>
      <c r="I41" s="334"/>
      <c r="J41" s="334"/>
      <c r="K41" s="334"/>
      <c r="L41" s="177"/>
      <c r="M41" s="177"/>
      <c r="N41" s="368" t="s">
        <v>1538</v>
      </c>
      <c r="O41" s="369"/>
      <c r="P41" s="370"/>
      <c r="Q41" s="216" t="str">
        <f>IF(N12="","",IF(N12="Pequena","Satisfaz",IF(N12="Média","Satisfaz","Não satisfaz")))</f>
        <v/>
      </c>
      <c r="R41" s="173"/>
      <c r="S41" s="186"/>
    </row>
    <row r="42" spans="2:19" s="187" customFormat="1" ht="7.5" customHeight="1" thickBot="1" x14ac:dyDescent="0.35">
      <c r="B42" s="188"/>
      <c r="C42" s="243"/>
      <c r="D42" s="244"/>
      <c r="E42" s="177"/>
      <c r="F42" s="334"/>
      <c r="G42" s="334"/>
      <c r="H42" s="334"/>
      <c r="I42" s="334"/>
      <c r="J42" s="334"/>
      <c r="K42" s="334"/>
      <c r="L42" s="177"/>
      <c r="M42" s="177"/>
      <c r="N42" s="204"/>
      <c r="O42" s="204"/>
      <c r="P42" s="206"/>
      <c r="Q42" s="206"/>
      <c r="R42" s="173"/>
      <c r="S42" s="186"/>
    </row>
    <row r="43" spans="2:19" s="187" customFormat="1" ht="15" customHeight="1" thickBot="1" x14ac:dyDescent="0.35">
      <c r="B43" s="190"/>
      <c r="C43" s="243"/>
      <c r="D43" s="244"/>
      <c r="E43" s="177"/>
      <c r="F43" s="334"/>
      <c r="G43" s="334"/>
      <c r="H43" s="334"/>
      <c r="I43" s="334"/>
      <c r="J43" s="334"/>
      <c r="K43" s="334"/>
      <c r="L43" s="177"/>
      <c r="M43" s="177"/>
      <c r="N43" s="368" t="s">
        <v>1539</v>
      </c>
      <c r="O43" s="369"/>
      <c r="P43" s="370"/>
      <c r="Q43" s="217" t="str">
        <f>IF(O110="","",IF(O110="Enquadramento Condicionado*","Condicionado*","Satisfaz"))</f>
        <v/>
      </c>
      <c r="R43" s="173"/>
      <c r="S43" s="186"/>
    </row>
    <row r="44" spans="2:19" s="187" customFormat="1" ht="15" customHeight="1" x14ac:dyDescent="0.3">
      <c r="B44" s="185"/>
      <c r="C44" s="243"/>
      <c r="D44" s="244"/>
      <c r="E44" s="173"/>
      <c r="F44" s="334"/>
      <c r="G44" s="334"/>
      <c r="H44" s="334"/>
      <c r="I44" s="334"/>
      <c r="J44" s="334"/>
      <c r="K44" s="334"/>
      <c r="L44" s="177"/>
      <c r="M44" s="177"/>
      <c r="N44" s="340" t="str">
        <f>IF(Q43="","",IF(Q43="Satisfaz","",IF(Q43="Condicionado*","* Condicionado à efetiva geração de "&amp;TEXT('Faixas e condições'!C24,0)&amp;" empregos.")))</f>
        <v/>
      </c>
      <c r="O44" s="340"/>
      <c r="P44" s="340"/>
      <c r="Q44" s="340"/>
      <c r="R44" s="173"/>
      <c r="S44" s="186"/>
    </row>
    <row r="45" spans="2:19" s="187" customFormat="1" ht="15" customHeight="1" x14ac:dyDescent="0.3">
      <c r="B45" s="185"/>
      <c r="C45" s="243"/>
      <c r="D45" s="244"/>
      <c r="E45" s="173"/>
      <c r="F45" s="334"/>
      <c r="G45" s="334"/>
      <c r="H45" s="334"/>
      <c r="I45" s="334"/>
      <c r="J45" s="334"/>
      <c r="K45" s="334"/>
      <c r="L45" s="177"/>
      <c r="M45" s="177"/>
      <c r="N45" s="177"/>
      <c r="O45" s="177"/>
      <c r="P45" s="177"/>
      <c r="Q45" s="177"/>
      <c r="R45" s="173"/>
      <c r="S45" s="186"/>
    </row>
    <row r="46" spans="2:19" s="187" customFormat="1" ht="15" customHeight="1" x14ac:dyDescent="0.3">
      <c r="B46" s="188"/>
      <c r="C46" s="243"/>
      <c r="D46" s="244"/>
      <c r="E46" s="177"/>
      <c r="F46" s="334"/>
      <c r="G46" s="334"/>
      <c r="H46" s="334"/>
      <c r="I46" s="334"/>
      <c r="J46" s="334"/>
      <c r="K46" s="334"/>
      <c r="L46" s="177"/>
      <c r="M46" s="335" t="s">
        <v>1540</v>
      </c>
      <c r="N46" s="335"/>
      <c r="O46" s="335"/>
      <c r="P46" s="335"/>
      <c r="Q46" s="335"/>
      <c r="R46" s="173"/>
      <c r="S46" s="186"/>
    </row>
    <row r="47" spans="2:19" s="187" customFormat="1" ht="15" customHeight="1" thickBot="1" x14ac:dyDescent="0.35">
      <c r="B47" s="190"/>
      <c r="C47" s="243"/>
      <c r="D47" s="244"/>
      <c r="E47" s="177"/>
      <c r="F47" s="334"/>
      <c r="G47" s="334"/>
      <c r="H47" s="334"/>
      <c r="I47" s="334"/>
      <c r="J47" s="334"/>
      <c r="K47" s="334"/>
      <c r="L47" s="177"/>
      <c r="M47" s="207"/>
      <c r="N47" s="207"/>
      <c r="O47" s="342" t="s">
        <v>1542</v>
      </c>
      <c r="P47" s="342"/>
      <c r="Q47" s="206" t="s">
        <v>1541</v>
      </c>
      <c r="R47" s="173"/>
      <c r="S47" s="186"/>
    </row>
    <row r="48" spans="2:19" s="187" customFormat="1" ht="31.5" customHeight="1" thickBot="1" x14ac:dyDescent="0.35">
      <c r="B48" s="188"/>
      <c r="C48" s="243"/>
      <c r="D48" s="244"/>
      <c r="E48" s="177"/>
      <c r="F48" s="334"/>
      <c r="G48" s="334"/>
      <c r="H48" s="334"/>
      <c r="I48" s="334"/>
      <c r="J48" s="334"/>
      <c r="K48" s="334"/>
      <c r="L48" s="177"/>
      <c r="M48" s="342" t="s">
        <v>1561</v>
      </c>
      <c r="N48" s="343"/>
      <c r="O48" s="336" t="s">
        <v>1562</v>
      </c>
      <c r="P48" s="337"/>
      <c r="Q48" s="226" t="str">
        <f>IF(Q41="","",IF(Q41="Não Satisfaz","","Crédito Fiscal Presumido"))</f>
        <v/>
      </c>
      <c r="R48" s="173"/>
      <c r="S48" s="186"/>
    </row>
    <row r="49" spans="2:19" s="187" customFormat="1" ht="7.5" customHeight="1" thickBot="1" x14ac:dyDescent="0.35">
      <c r="B49" s="188"/>
      <c r="C49" s="243"/>
      <c r="D49" s="244"/>
      <c r="E49" s="177"/>
      <c r="F49" s="334"/>
      <c r="G49" s="334"/>
      <c r="H49" s="334"/>
      <c r="I49" s="334"/>
      <c r="J49" s="334"/>
      <c r="K49" s="334"/>
      <c r="L49" s="177"/>
      <c r="M49" s="204"/>
      <c r="N49" s="204"/>
      <c r="O49" s="206"/>
      <c r="P49" s="206"/>
      <c r="Q49" s="177"/>
      <c r="R49" s="173"/>
      <c r="S49" s="186"/>
    </row>
    <row r="50" spans="2:19" s="187" customFormat="1" ht="15" customHeight="1" thickBot="1" x14ac:dyDescent="0.35">
      <c r="B50" s="185"/>
      <c r="C50" s="243"/>
      <c r="D50" s="244"/>
      <c r="E50" s="173"/>
      <c r="F50" s="334"/>
      <c r="G50" s="334"/>
      <c r="H50" s="334"/>
      <c r="I50" s="334"/>
      <c r="J50" s="334"/>
      <c r="K50" s="334"/>
      <c r="L50" s="177"/>
      <c r="M50" s="342" t="s">
        <v>1543</v>
      </c>
      <c r="N50" s="343"/>
      <c r="O50" s="338" t="str">
        <f>IF(O96="","",SUM(O85:P95)/100)</f>
        <v/>
      </c>
      <c r="P50" s="339"/>
      <c r="Q50" s="222" t="str">
        <f>IF(O96="","",IF(Q41="","",IF(Q41="Não satisfaz","",(SUM(O85:P95)*0.9)/100)))</f>
        <v/>
      </c>
      <c r="R50" s="173"/>
      <c r="S50" s="186"/>
    </row>
    <row r="51" spans="2:19" s="187" customFormat="1" ht="7.2" customHeight="1" thickBot="1" x14ac:dyDescent="0.35">
      <c r="B51" s="188"/>
      <c r="C51" s="243"/>
      <c r="D51" s="244"/>
      <c r="E51" s="177"/>
      <c r="F51" s="334"/>
      <c r="G51" s="334"/>
      <c r="H51" s="334"/>
      <c r="I51" s="334"/>
      <c r="J51" s="334"/>
      <c r="K51" s="334"/>
      <c r="L51" s="177"/>
      <c r="M51" s="341"/>
      <c r="N51" s="341"/>
      <c r="O51" s="341"/>
      <c r="P51" s="341"/>
      <c r="Q51" s="177"/>
      <c r="R51" s="173"/>
      <c r="S51" s="186"/>
    </row>
    <row r="52" spans="2:19" s="187" customFormat="1" ht="15" customHeight="1" x14ac:dyDescent="0.3">
      <c r="B52" s="188"/>
      <c r="C52" s="243"/>
      <c r="D52" s="244"/>
      <c r="E52" s="177"/>
      <c r="F52" s="334"/>
      <c r="G52" s="334"/>
      <c r="H52" s="334"/>
      <c r="I52" s="334"/>
      <c r="J52" s="334"/>
      <c r="K52" s="334"/>
      <c r="L52" s="177"/>
      <c r="M52" s="328" t="s">
        <v>1565</v>
      </c>
      <c r="N52" s="328"/>
      <c r="O52" s="329" t="s">
        <v>1563</v>
      </c>
      <c r="P52" s="330"/>
      <c r="Q52" s="344" t="str">
        <f>IF(O96="","",IF(Q41="","",IF(Q41="Não satisfaz","","Desconto direto na GIA ICMS")))</f>
        <v/>
      </c>
      <c r="R52" s="173"/>
      <c r="S52" s="186"/>
    </row>
    <row r="53" spans="2:19" s="187" customFormat="1" ht="15" customHeight="1" thickBot="1" x14ac:dyDescent="0.35">
      <c r="B53" s="188"/>
      <c r="C53" s="243"/>
      <c r="D53" s="244"/>
      <c r="E53" s="177"/>
      <c r="F53" s="334"/>
      <c r="G53" s="334"/>
      <c r="H53" s="334"/>
      <c r="I53" s="334"/>
      <c r="J53" s="334"/>
      <c r="K53" s="334"/>
      <c r="L53" s="177"/>
      <c r="M53" s="328"/>
      <c r="N53" s="328"/>
      <c r="O53" s="331"/>
      <c r="P53" s="332"/>
      <c r="Q53" s="345"/>
      <c r="R53" s="173"/>
      <c r="S53" s="186"/>
    </row>
    <row r="54" spans="2:19" s="187" customFormat="1" ht="15" customHeight="1" x14ac:dyDescent="0.3">
      <c r="B54" s="188"/>
      <c r="C54" s="243"/>
      <c r="D54" s="244"/>
      <c r="E54" s="177"/>
      <c r="F54" s="334"/>
      <c r="G54" s="334"/>
      <c r="H54" s="334"/>
      <c r="I54" s="334"/>
      <c r="J54" s="334"/>
      <c r="K54" s="334"/>
      <c r="L54" s="177"/>
      <c r="M54" s="224"/>
      <c r="N54" s="224"/>
      <c r="O54" s="224"/>
      <c r="P54" s="224"/>
      <c r="Q54" s="177"/>
      <c r="R54" s="173"/>
      <c r="S54" s="186"/>
    </row>
    <row r="55" spans="2:19" s="187" customFormat="1" ht="15" customHeight="1" thickBot="1" x14ac:dyDescent="0.35">
      <c r="B55" s="185"/>
      <c r="C55" s="243"/>
      <c r="D55" s="244"/>
      <c r="E55" s="173"/>
      <c r="F55" s="334"/>
      <c r="G55" s="334"/>
      <c r="H55" s="334"/>
      <c r="I55" s="334"/>
      <c r="J55" s="334"/>
      <c r="K55" s="334"/>
      <c r="L55" s="177"/>
      <c r="M55" s="177"/>
      <c r="N55" s="333" t="s">
        <v>1544</v>
      </c>
      <c r="O55" s="333"/>
      <c r="P55" s="333"/>
      <c r="Q55" s="333"/>
      <c r="R55" s="173"/>
      <c r="S55" s="186"/>
    </row>
    <row r="56" spans="2:19" s="187" customFormat="1" ht="15" customHeight="1" thickBot="1" x14ac:dyDescent="0.35">
      <c r="B56" s="188"/>
      <c r="C56" s="245"/>
      <c r="D56" s="246"/>
      <c r="E56" s="177"/>
      <c r="F56" s="334"/>
      <c r="G56" s="334"/>
      <c r="H56" s="334"/>
      <c r="I56" s="334"/>
      <c r="J56" s="334"/>
      <c r="K56" s="334"/>
      <c r="L56" s="177"/>
      <c r="M56" s="177"/>
      <c r="N56" s="284"/>
      <c r="O56" s="285"/>
      <c r="P56" s="285"/>
      <c r="Q56" s="286"/>
      <c r="R56" s="173"/>
      <c r="S56" s="186"/>
    </row>
    <row r="57" spans="2:19" s="187" customFormat="1" ht="15" customHeight="1" thickBot="1" x14ac:dyDescent="0.35">
      <c r="B57" s="211"/>
      <c r="C57" s="212"/>
      <c r="D57" s="212"/>
      <c r="E57" s="213"/>
      <c r="F57" s="214"/>
      <c r="G57" s="214"/>
      <c r="H57" s="214"/>
      <c r="I57" s="214"/>
      <c r="J57" s="214"/>
      <c r="K57" s="214"/>
      <c r="L57" s="213"/>
      <c r="M57" s="213"/>
      <c r="N57" s="213"/>
      <c r="O57" s="213"/>
      <c r="P57" s="213"/>
      <c r="Q57" s="213"/>
      <c r="R57" s="179"/>
      <c r="S57" s="215"/>
    </row>
    <row r="58" spans="2:19" s="187" customFormat="1" ht="15" customHeight="1" x14ac:dyDescent="0.3">
      <c r="B58" s="185"/>
      <c r="C58" s="210"/>
      <c r="D58" s="210"/>
      <c r="E58" s="173"/>
      <c r="F58" s="205"/>
      <c r="G58" s="205"/>
      <c r="H58" s="205"/>
      <c r="I58" s="205"/>
      <c r="J58" s="205"/>
      <c r="K58" s="205"/>
      <c r="L58" s="177"/>
      <c r="M58" s="208"/>
      <c r="N58" s="208"/>
      <c r="O58" s="208"/>
      <c r="P58" s="208"/>
      <c r="Q58" s="177"/>
      <c r="R58" s="173"/>
      <c r="S58" s="186"/>
    </row>
    <row r="59" spans="2:19" ht="16.5" customHeight="1" x14ac:dyDescent="0.3">
      <c r="B59" s="172"/>
      <c r="C59" s="241" t="s">
        <v>1547</v>
      </c>
      <c r="D59" s="242"/>
      <c r="E59" s="173"/>
      <c r="F59" s="173"/>
      <c r="G59" s="191"/>
      <c r="H59" s="364" t="s">
        <v>9</v>
      </c>
      <c r="I59" s="364"/>
      <c r="J59" s="364"/>
      <c r="K59" s="364"/>
      <c r="L59" s="364"/>
      <c r="M59" s="364"/>
      <c r="N59" s="364"/>
      <c r="O59" s="364"/>
      <c r="P59" s="191"/>
      <c r="Q59" s="173"/>
      <c r="R59" s="173"/>
      <c r="S59" s="175"/>
    </row>
    <row r="60" spans="2:19" ht="16.5" customHeight="1" x14ac:dyDescent="0.3">
      <c r="B60" s="172"/>
      <c r="C60" s="243"/>
      <c r="D60" s="244"/>
      <c r="E60" s="173"/>
      <c r="F60" s="173"/>
      <c r="G60" s="192"/>
      <c r="H60" s="364"/>
      <c r="I60" s="364"/>
      <c r="J60" s="364"/>
      <c r="K60" s="364"/>
      <c r="L60" s="364"/>
      <c r="M60" s="364"/>
      <c r="N60" s="364"/>
      <c r="O60" s="364"/>
      <c r="P60" s="193"/>
      <c r="Q60" s="173"/>
      <c r="R60" s="173"/>
      <c r="S60" s="175"/>
    </row>
    <row r="61" spans="2:19" ht="16.5" customHeight="1" x14ac:dyDescent="0.3">
      <c r="B61" s="172"/>
      <c r="C61" s="243"/>
      <c r="D61" s="244"/>
      <c r="E61" s="173"/>
      <c r="F61" s="177"/>
      <c r="G61" s="192"/>
      <c r="H61" s="364"/>
      <c r="I61" s="364"/>
      <c r="J61" s="364"/>
      <c r="K61" s="364"/>
      <c r="L61" s="364"/>
      <c r="M61" s="364"/>
      <c r="N61" s="364"/>
      <c r="O61" s="364"/>
      <c r="P61" s="193"/>
      <c r="Q61" s="177"/>
      <c r="R61" s="173"/>
      <c r="S61" s="175"/>
    </row>
    <row r="62" spans="2:19" ht="16.5" customHeight="1" thickBot="1" x14ac:dyDescent="0.35">
      <c r="B62" s="172"/>
      <c r="C62" s="243"/>
      <c r="D62" s="244"/>
      <c r="E62" s="173"/>
      <c r="F62" s="173"/>
      <c r="G62" s="193"/>
      <c r="H62" s="262" t="s">
        <v>10</v>
      </c>
      <c r="I62" s="262"/>
      <c r="J62" s="262"/>
      <c r="K62" s="262"/>
      <c r="L62" s="262"/>
      <c r="M62" s="262"/>
      <c r="N62" s="262"/>
      <c r="O62" s="262"/>
      <c r="P62" s="194"/>
      <c r="Q62" s="173"/>
      <c r="R62" s="173"/>
      <c r="S62" s="175"/>
    </row>
    <row r="63" spans="2:19" ht="16.5" customHeight="1" x14ac:dyDescent="0.3">
      <c r="B63" s="172"/>
      <c r="C63" s="243"/>
      <c r="D63" s="244"/>
      <c r="E63" s="173"/>
      <c r="F63" s="173"/>
      <c r="G63" s="275" t="s">
        <v>11</v>
      </c>
      <c r="H63" s="271"/>
      <c r="I63" s="271"/>
      <c r="J63" s="271"/>
      <c r="K63" s="273" t="s">
        <v>12</v>
      </c>
      <c r="L63" s="356"/>
      <c r="M63" s="356"/>
      <c r="N63" s="274"/>
      <c r="O63" s="271" t="s">
        <v>13</v>
      </c>
      <c r="P63" s="272"/>
      <c r="Q63" s="173"/>
      <c r="R63" s="173"/>
      <c r="S63" s="175"/>
    </row>
    <row r="64" spans="2:19" ht="16.5" customHeight="1" x14ac:dyDescent="0.3">
      <c r="B64" s="172"/>
      <c r="C64" s="243"/>
      <c r="D64" s="244"/>
      <c r="E64" s="173"/>
      <c r="F64" s="173"/>
      <c r="G64" s="252" t="s">
        <v>14</v>
      </c>
      <c r="H64" s="253"/>
      <c r="I64" s="253"/>
      <c r="J64" s="253"/>
      <c r="K64" s="371" t="s">
        <v>1515</v>
      </c>
      <c r="L64" s="371"/>
      <c r="M64" s="371"/>
      <c r="N64" s="197">
        <v>55</v>
      </c>
      <c r="O64" s="276" t="str">
        <f>IF(F16="Selecione","Selecione o CNAE",IF(H16="Selecionar CNAE","",VLOOKUP(F16,CNAEs!B3:D402,3,0)))</f>
        <v>Selecione o CNAE</v>
      </c>
      <c r="P64" s="277"/>
      <c r="Q64" s="173"/>
      <c r="R64" s="173"/>
      <c r="S64" s="175"/>
    </row>
    <row r="65" spans="2:23" ht="16.5" customHeight="1" x14ac:dyDescent="0.3">
      <c r="B65" s="172"/>
      <c r="C65" s="243"/>
      <c r="D65" s="244"/>
      <c r="E65" s="173"/>
      <c r="F65" s="173"/>
      <c r="G65" s="252"/>
      <c r="H65" s="253"/>
      <c r="I65" s="253"/>
      <c r="J65" s="253"/>
      <c r="K65" s="371" t="s">
        <v>1516</v>
      </c>
      <c r="L65" s="371"/>
      <c r="M65" s="371"/>
      <c r="N65" s="197">
        <v>50</v>
      </c>
      <c r="O65" s="276"/>
      <c r="P65" s="277"/>
      <c r="Q65" s="173"/>
      <c r="R65" s="173"/>
      <c r="S65" s="175"/>
    </row>
    <row r="66" spans="2:23" ht="16.5" customHeight="1" x14ac:dyDescent="0.3">
      <c r="B66" s="172"/>
      <c r="C66" s="243"/>
      <c r="D66" s="244"/>
      <c r="E66" s="173"/>
      <c r="F66" s="173"/>
      <c r="G66" s="252"/>
      <c r="H66" s="253"/>
      <c r="I66" s="253"/>
      <c r="J66" s="253"/>
      <c r="K66" s="371" t="s">
        <v>1517</v>
      </c>
      <c r="L66" s="371"/>
      <c r="M66" s="371"/>
      <c r="N66" s="197">
        <v>45</v>
      </c>
      <c r="O66" s="276"/>
      <c r="P66" s="277"/>
      <c r="Q66" s="173"/>
      <c r="R66" s="173"/>
      <c r="S66" s="175"/>
    </row>
    <row r="67" spans="2:23" ht="16.5" customHeight="1" x14ac:dyDescent="0.3">
      <c r="B67" s="172"/>
      <c r="C67" s="243"/>
      <c r="D67" s="244"/>
      <c r="E67" s="173"/>
      <c r="F67" s="173"/>
      <c r="G67" s="266" t="s">
        <v>1519</v>
      </c>
      <c r="H67" s="267"/>
      <c r="I67" s="267"/>
      <c r="J67" s="267"/>
      <c r="K67" s="267"/>
      <c r="L67" s="267"/>
      <c r="M67" s="267"/>
      <c r="N67" s="197">
        <v>35</v>
      </c>
      <c r="O67" s="276"/>
      <c r="P67" s="277"/>
      <c r="Q67" s="173"/>
      <c r="R67" s="173"/>
      <c r="S67" s="175"/>
    </row>
    <row r="68" spans="2:23" ht="16.5" customHeight="1" x14ac:dyDescent="0.3">
      <c r="B68" s="172"/>
      <c r="C68" s="243"/>
      <c r="D68" s="244"/>
      <c r="E68" s="173"/>
      <c r="F68" s="173"/>
      <c r="G68" s="266" t="s">
        <v>15</v>
      </c>
      <c r="H68" s="267"/>
      <c r="I68" s="267"/>
      <c r="J68" s="267"/>
      <c r="K68" s="267"/>
      <c r="L68" s="267"/>
      <c r="M68" s="267"/>
      <c r="N68" s="197">
        <v>25</v>
      </c>
      <c r="O68" s="276"/>
      <c r="P68" s="277"/>
      <c r="Q68" s="173"/>
      <c r="R68" s="173"/>
      <c r="S68" s="175"/>
    </row>
    <row r="69" spans="2:23" s="187" customFormat="1" ht="16.5" customHeight="1" x14ac:dyDescent="0.3">
      <c r="B69" s="172"/>
      <c r="C69" s="243"/>
      <c r="D69" s="244"/>
      <c r="E69" s="177"/>
      <c r="F69" s="173"/>
      <c r="G69" s="247" t="s">
        <v>16</v>
      </c>
      <c r="H69" s="248"/>
      <c r="I69" s="248"/>
      <c r="J69" s="248"/>
      <c r="K69" s="249" t="s">
        <v>17</v>
      </c>
      <c r="L69" s="249"/>
      <c r="M69" s="249"/>
      <c r="N69" s="195">
        <v>25</v>
      </c>
      <c r="O69" s="250" t="str">
        <f>IF(F16="Selecione","",IF(AND(N34="Sim",COUNTIF(IDESE!H3:H8,"Sim")&gt;0),25,IF(AND(VALUE(LEFT(F16,2))=29,O16="Sim"),25,IF(COUNTIF('Intensidade tecnológica'!D3:D30,VALUE(LEFT(F16,3)))&gt;0,VLOOKUP(VALUE(LEFT(F16,3)),'Intensidade tecnológica'!D3:E30,2,0),IF(COUNTIF('Intensidade tecnológica'!D3:D30,VALUE(LEFT(F16,2)))&gt;0,VLOOKUP(VALUE(LEFT(F16,2)),'Intensidade tecnológica'!D3:E30,2,0),0)))))</f>
        <v/>
      </c>
      <c r="P69" s="251"/>
      <c r="Q69" s="173"/>
      <c r="R69" s="173"/>
      <c r="S69" s="186"/>
      <c r="V69" s="96"/>
      <c r="W69" s="96"/>
    </row>
    <row r="70" spans="2:23" ht="16.5" customHeight="1" x14ac:dyDescent="0.3">
      <c r="B70" s="172"/>
      <c r="C70" s="243"/>
      <c r="D70" s="244"/>
      <c r="E70" s="173"/>
      <c r="F70" s="173"/>
      <c r="G70" s="247"/>
      <c r="H70" s="248"/>
      <c r="I70" s="248"/>
      <c r="J70" s="248"/>
      <c r="K70" s="249" t="s">
        <v>18</v>
      </c>
      <c r="L70" s="249"/>
      <c r="M70" s="249"/>
      <c r="N70" s="195">
        <v>20</v>
      </c>
      <c r="O70" s="250"/>
      <c r="P70" s="251"/>
      <c r="Q70" s="173"/>
      <c r="R70" s="173"/>
      <c r="S70" s="175"/>
      <c r="V70" s="187"/>
      <c r="W70" s="187"/>
    </row>
    <row r="71" spans="2:23" ht="16.5" customHeight="1" x14ac:dyDescent="0.3">
      <c r="B71" s="172"/>
      <c r="C71" s="243"/>
      <c r="D71" s="244"/>
      <c r="E71" s="173"/>
      <c r="F71" s="173"/>
      <c r="G71" s="247"/>
      <c r="H71" s="248"/>
      <c r="I71" s="248"/>
      <c r="J71" s="248"/>
      <c r="K71" s="249" t="s">
        <v>19</v>
      </c>
      <c r="L71" s="249"/>
      <c r="M71" s="249"/>
      <c r="N71" s="195">
        <v>15</v>
      </c>
      <c r="O71" s="250"/>
      <c r="P71" s="251"/>
      <c r="Q71" s="173"/>
      <c r="R71" s="173"/>
      <c r="S71" s="175"/>
    </row>
    <row r="72" spans="2:23" ht="16.5" customHeight="1" x14ac:dyDescent="0.3">
      <c r="B72" s="172"/>
      <c r="C72" s="243"/>
      <c r="D72" s="244"/>
      <c r="E72" s="173"/>
      <c r="F72" s="173"/>
      <c r="G72" s="247"/>
      <c r="H72" s="248"/>
      <c r="I72" s="248"/>
      <c r="J72" s="248"/>
      <c r="K72" s="249" t="s">
        <v>20</v>
      </c>
      <c r="L72" s="249"/>
      <c r="M72" s="249"/>
      <c r="N72" s="195">
        <v>10</v>
      </c>
      <c r="O72" s="250"/>
      <c r="P72" s="251"/>
      <c r="Q72" s="173"/>
      <c r="R72" s="173"/>
      <c r="S72" s="175"/>
    </row>
    <row r="73" spans="2:23" ht="16.5" customHeight="1" x14ac:dyDescent="0.3">
      <c r="B73" s="172"/>
      <c r="C73" s="243"/>
      <c r="D73" s="244"/>
      <c r="E73" s="173"/>
      <c r="F73" s="173"/>
      <c r="G73" s="247"/>
      <c r="H73" s="248"/>
      <c r="I73" s="248"/>
      <c r="J73" s="248"/>
      <c r="K73" s="249" t="s">
        <v>891</v>
      </c>
      <c r="L73" s="249"/>
      <c r="M73" s="249"/>
      <c r="N73" s="195">
        <v>0</v>
      </c>
      <c r="O73" s="250"/>
      <c r="P73" s="251"/>
      <c r="Q73" s="173"/>
      <c r="R73" s="173"/>
      <c r="S73" s="175"/>
    </row>
    <row r="74" spans="2:23" ht="16.5" customHeight="1" x14ac:dyDescent="0.3">
      <c r="B74" s="172"/>
      <c r="C74" s="243"/>
      <c r="D74" s="244"/>
      <c r="E74" s="173"/>
      <c r="F74" s="177"/>
      <c r="G74" s="266" t="s">
        <v>21</v>
      </c>
      <c r="H74" s="267"/>
      <c r="I74" s="267"/>
      <c r="J74" s="267"/>
      <c r="K74" s="267" t="s">
        <v>22</v>
      </c>
      <c r="L74" s="267"/>
      <c r="M74" s="267"/>
      <c r="N74" s="197">
        <v>10</v>
      </c>
      <c r="O74" s="276" t="str">
        <f>IF(F9="Selecione","",IF(F9="Não",0,IF(F9=K74,N74,N75)))</f>
        <v/>
      </c>
      <c r="P74" s="277"/>
      <c r="Q74" s="177"/>
      <c r="R74" s="173"/>
      <c r="S74" s="175"/>
    </row>
    <row r="75" spans="2:23" ht="16.5" customHeight="1" x14ac:dyDescent="0.3">
      <c r="B75" s="172"/>
      <c r="C75" s="243"/>
      <c r="D75" s="244"/>
      <c r="E75" s="173"/>
      <c r="F75" s="173"/>
      <c r="G75" s="266"/>
      <c r="H75" s="267"/>
      <c r="I75" s="267"/>
      <c r="J75" s="267"/>
      <c r="K75" s="267" t="s">
        <v>23</v>
      </c>
      <c r="L75" s="267"/>
      <c r="M75" s="267"/>
      <c r="N75" s="197">
        <v>5</v>
      </c>
      <c r="O75" s="276"/>
      <c r="P75" s="277"/>
      <c r="Q75" s="173"/>
      <c r="R75" s="173"/>
      <c r="S75" s="175"/>
    </row>
    <row r="76" spans="2:23" ht="16.5" customHeight="1" x14ac:dyDescent="0.3">
      <c r="B76" s="172"/>
      <c r="C76" s="243"/>
      <c r="D76" s="244"/>
      <c r="E76" s="173"/>
      <c r="F76" s="173"/>
      <c r="G76" s="247" t="s">
        <v>24</v>
      </c>
      <c r="H76" s="248"/>
      <c r="I76" s="248"/>
      <c r="J76" s="248"/>
      <c r="K76" s="248"/>
      <c r="L76" s="248"/>
      <c r="M76" s="248"/>
      <c r="N76" s="195">
        <v>10</v>
      </c>
      <c r="O76" s="250" t="str">
        <f>IF(F6="Selecione","",IF(F6="Não",0,IF(F6="Sim",N76,"")))</f>
        <v/>
      </c>
      <c r="P76" s="251"/>
      <c r="Q76" s="173"/>
      <c r="R76" s="173"/>
      <c r="S76" s="175"/>
    </row>
    <row r="77" spans="2:23" ht="25.2" customHeight="1" thickBot="1" x14ac:dyDescent="0.35">
      <c r="B77" s="172"/>
      <c r="C77" s="243"/>
      <c r="D77" s="244"/>
      <c r="E77" s="173"/>
      <c r="F77" s="173"/>
      <c r="G77" s="256" t="str">
        <f>IF(AND(Simulação!F6="Sim",Simulação!O77&gt;=85),"PONTUAÇÃO DO FINANCIAMENTO",IF(AND(Simulação!F6="Não",Simulação!O77&gt;=75),"PONTUAÇÃO DO FINANCIAMENTO","PONTUAÇÃO DO FINANCIAMENTO *(A)"))</f>
        <v>PONTUAÇÃO DO FINANCIAMENTO *(A)</v>
      </c>
      <c r="H77" s="257"/>
      <c r="I77" s="257"/>
      <c r="J77" s="257"/>
      <c r="K77" s="257"/>
      <c r="L77" s="257"/>
      <c r="M77" s="257"/>
      <c r="N77" s="258"/>
      <c r="O77" s="259" t="str">
        <f>IF(AND(F6="Sim",SUM(O64:P76)&gt;85),85,IF(AND(F6="Não",SUM(O64:P76)&gt;75),75,IF(SUM(O64:P76)=0,"",SUM(O64:P76))))</f>
        <v/>
      </c>
      <c r="P77" s="260"/>
      <c r="Q77" s="173"/>
      <c r="R77" s="173"/>
      <c r="S77" s="175"/>
    </row>
    <row r="78" spans="2:23" ht="27.75" customHeight="1" x14ac:dyDescent="0.3">
      <c r="B78" s="172"/>
      <c r="C78" s="243"/>
      <c r="D78" s="244"/>
      <c r="E78" s="173"/>
      <c r="F78" s="173"/>
      <c r="G78" s="261" t="str">
        <f>Textos!B2</f>
        <v/>
      </c>
      <c r="H78" s="261"/>
      <c r="I78" s="261"/>
      <c r="J78" s="261"/>
      <c r="K78" s="261"/>
      <c r="L78" s="261"/>
      <c r="M78" s="261"/>
      <c r="N78" s="261"/>
      <c r="O78" s="261"/>
      <c r="P78" s="261"/>
      <c r="Q78" s="173"/>
      <c r="R78" s="177"/>
      <c r="S78" s="175"/>
    </row>
    <row r="79" spans="2:23" ht="30" customHeight="1" x14ac:dyDescent="0.3">
      <c r="B79" s="172"/>
      <c r="C79" s="243"/>
      <c r="D79" s="244"/>
      <c r="E79" s="173"/>
      <c r="F79" s="173"/>
      <c r="G79" s="265" t="str">
        <f>Textos!B3</f>
        <v/>
      </c>
      <c r="H79" s="265"/>
      <c r="I79" s="265"/>
      <c r="J79" s="265"/>
      <c r="K79" s="265"/>
      <c r="L79" s="265"/>
      <c r="M79" s="265"/>
      <c r="N79" s="265"/>
      <c r="O79" s="265"/>
      <c r="P79" s="265"/>
      <c r="Q79" s="173"/>
      <c r="R79" s="177"/>
      <c r="S79" s="175"/>
    </row>
    <row r="80" spans="2:23" ht="47.4" customHeight="1" x14ac:dyDescent="0.3">
      <c r="B80" s="172"/>
      <c r="C80" s="243"/>
      <c r="D80" s="244"/>
      <c r="E80" s="173"/>
      <c r="F80" s="173"/>
      <c r="G80" s="265" t="str">
        <f>Textos!B4</f>
        <v/>
      </c>
      <c r="H80" s="265"/>
      <c r="I80" s="265"/>
      <c r="J80" s="265"/>
      <c r="K80" s="265"/>
      <c r="L80" s="265"/>
      <c r="M80" s="265"/>
      <c r="N80" s="265"/>
      <c r="O80" s="265"/>
      <c r="P80" s="265"/>
      <c r="Q80" s="173"/>
      <c r="R80" s="177"/>
      <c r="S80" s="175"/>
    </row>
    <row r="81" spans="2:23" ht="28.5" customHeight="1" x14ac:dyDescent="0.3">
      <c r="B81" s="172"/>
      <c r="C81" s="245"/>
      <c r="D81" s="246"/>
      <c r="E81" s="173"/>
      <c r="F81" s="173"/>
      <c r="G81" s="268" t="str">
        <f>Textos!B6</f>
        <v>Além do limite de 75 pontos para enquadramento do projeto no Fundopem, o projeto poderá ter pontuação adicional de até 15 pontos percentuais em função da procedência dos insumos e serviços nos termos do artigo 5º da Resolução Normativa nº 01 – FUNDOPEM/RS de 20/10/2021 e alterações.</v>
      </c>
      <c r="H81" s="268"/>
      <c r="I81" s="268"/>
      <c r="J81" s="268"/>
      <c r="K81" s="268"/>
      <c r="L81" s="268"/>
      <c r="M81" s="268"/>
      <c r="N81" s="268"/>
      <c r="O81" s="268"/>
      <c r="P81" s="268"/>
      <c r="Q81" s="173"/>
      <c r="R81" s="177"/>
      <c r="S81" s="175"/>
    </row>
    <row r="82" spans="2:23" ht="18.899999999999999" customHeight="1" x14ac:dyDescent="0.3">
      <c r="B82" s="172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7"/>
      <c r="S82" s="175"/>
    </row>
    <row r="83" spans="2:23" ht="16.5" customHeight="1" thickBot="1" x14ac:dyDescent="0.35">
      <c r="B83" s="172"/>
      <c r="C83" s="241" t="s">
        <v>1548</v>
      </c>
      <c r="D83" s="242"/>
      <c r="E83" s="173"/>
      <c r="F83" s="173"/>
      <c r="G83" s="262" t="s">
        <v>25</v>
      </c>
      <c r="H83" s="262"/>
      <c r="I83" s="262"/>
      <c r="J83" s="262"/>
      <c r="K83" s="262"/>
      <c r="L83" s="262"/>
      <c r="M83" s="262"/>
      <c r="N83" s="262"/>
      <c r="O83" s="262"/>
      <c r="P83" s="262"/>
      <c r="Q83" s="189"/>
      <c r="R83" s="177"/>
      <c r="S83" s="175"/>
    </row>
    <row r="84" spans="2:23" ht="16.5" customHeight="1" x14ac:dyDescent="0.3">
      <c r="B84" s="172"/>
      <c r="C84" s="243"/>
      <c r="D84" s="244"/>
      <c r="E84" s="173"/>
      <c r="F84" s="173"/>
      <c r="G84" s="275" t="s">
        <v>11</v>
      </c>
      <c r="H84" s="271"/>
      <c r="I84" s="271"/>
      <c r="J84" s="271"/>
      <c r="K84" s="271"/>
      <c r="L84" s="271"/>
      <c r="M84" s="273" t="s">
        <v>12</v>
      </c>
      <c r="N84" s="274"/>
      <c r="O84" s="271" t="s">
        <v>13</v>
      </c>
      <c r="P84" s="272"/>
      <c r="Q84" s="173"/>
      <c r="R84" s="173"/>
      <c r="S84" s="175"/>
    </row>
    <row r="85" spans="2:23" ht="16.2" customHeight="1" x14ac:dyDescent="0.3">
      <c r="B85" s="172"/>
      <c r="C85" s="243"/>
      <c r="D85" s="244"/>
      <c r="E85" s="173"/>
      <c r="F85" s="173"/>
      <c r="G85" s="247" t="str">
        <f>IF('Faixas e condições'!D25="Sim","Índice de Desenvolvimento INTEGRAR/IDESE *(C)","Índice de Desenvolvimento INTEGRAR/IDESE")</f>
        <v>Índice de Desenvolvimento INTEGRAR/IDESE</v>
      </c>
      <c r="H85" s="248"/>
      <c r="I85" s="248"/>
      <c r="J85" s="248"/>
      <c r="K85" s="248"/>
      <c r="L85" s="248"/>
      <c r="M85" s="240" t="s">
        <v>26</v>
      </c>
      <c r="N85" s="195">
        <v>80</v>
      </c>
      <c r="O85" s="269" t="str">
        <f>IF('Faixas e condições'!D25="Sim",(IDESE!E9*100)/2,IF(IDESE!E9&lt;&gt;0,IDESE!E9*100,"Preencha o Município/Investimento"))</f>
        <v>Preencha o Município/Investimento</v>
      </c>
      <c r="P85" s="270"/>
      <c r="Q85" s="173"/>
      <c r="R85" s="196"/>
      <c r="S85" s="175"/>
    </row>
    <row r="86" spans="2:23" ht="16.2" customHeight="1" x14ac:dyDescent="0.3">
      <c r="B86" s="172"/>
      <c r="C86" s="243"/>
      <c r="D86" s="244"/>
      <c r="E86" s="173"/>
      <c r="F86" s="173"/>
      <c r="G86" s="247"/>
      <c r="H86" s="248"/>
      <c r="I86" s="248"/>
      <c r="J86" s="248"/>
      <c r="K86" s="248"/>
      <c r="L86" s="248"/>
      <c r="M86" s="240" t="s">
        <v>27</v>
      </c>
      <c r="N86" s="195">
        <v>10</v>
      </c>
      <c r="O86" s="269"/>
      <c r="P86" s="270"/>
      <c r="Q86" s="173"/>
      <c r="R86" s="173"/>
      <c r="S86" s="175"/>
    </row>
    <row r="87" spans="2:23" ht="16.2" customHeight="1" x14ac:dyDescent="0.3">
      <c r="B87" s="172"/>
      <c r="C87" s="243"/>
      <c r="D87" s="244"/>
      <c r="E87" s="173"/>
      <c r="F87" s="173"/>
      <c r="G87" s="418" t="str">
        <f>IF('Faixas e condições'!D25="Sim","Geração de Empregos *(C)","Qualidade da Massa Salarial* ou Geração de Empregos")</f>
        <v>Qualidade da Massa Salarial* ou Geração de Empregos</v>
      </c>
      <c r="H87" s="419"/>
      <c r="I87" s="419"/>
      <c r="J87" s="419"/>
      <c r="K87" s="419"/>
      <c r="L87" s="420"/>
      <c r="M87" s="239" t="s">
        <v>26</v>
      </c>
      <c r="N87" s="197">
        <v>20</v>
      </c>
      <c r="O87" s="254" t="str">
        <f>IF(AND('Salário x Empregos'!D16="",'Salário x Empregos'!D18=""),"",IF(F19= "Implantação","A pontuar",IF('Faixas e condições'!D25="Sim",'Salário x Empregos'!D18,IF(MAX('Salário x Empregos'!D16,'Salário x Empregos'!D18)=0,0,MAX('Salário x Empregos'!D16,'Salário x Empregos'!D18)))))</f>
        <v/>
      </c>
      <c r="P87" s="255"/>
      <c r="Q87" s="173"/>
      <c r="R87" s="173"/>
      <c r="S87" s="175"/>
    </row>
    <row r="88" spans="2:23" ht="16.2" customHeight="1" x14ac:dyDescent="0.3">
      <c r="B88" s="172"/>
      <c r="C88" s="243"/>
      <c r="D88" s="244"/>
      <c r="E88" s="173"/>
      <c r="F88" s="173"/>
      <c r="G88" s="425" t="str">
        <f>IF('Faixas e condições'!D25="Sim","(com base na Geração de Empregos informada)","(* com base na Massa Salarial informada)")</f>
        <v>(* com base na Massa Salarial informada)</v>
      </c>
      <c r="H88" s="423"/>
      <c r="I88" s="423"/>
      <c r="J88" s="423"/>
      <c r="K88" s="423"/>
      <c r="L88" s="424"/>
      <c r="M88" s="417" t="s">
        <v>27</v>
      </c>
      <c r="N88" s="197">
        <v>2</v>
      </c>
      <c r="O88" s="254"/>
      <c r="P88" s="255"/>
      <c r="Q88" s="173"/>
      <c r="R88" s="173"/>
      <c r="S88" s="175"/>
    </row>
    <row r="89" spans="2:23" ht="16.2" customHeight="1" x14ac:dyDescent="0.3">
      <c r="B89" s="172"/>
      <c r="C89" s="243"/>
      <c r="D89" s="244"/>
      <c r="E89" s="173"/>
      <c r="F89" s="173"/>
      <c r="G89" s="421" t="s">
        <v>28</v>
      </c>
      <c r="H89" s="422"/>
      <c r="I89" s="422"/>
      <c r="J89" s="422"/>
      <c r="K89" s="422"/>
      <c r="L89" s="422"/>
      <c r="M89" s="198" t="s">
        <v>1515</v>
      </c>
      <c r="N89" s="195">
        <v>10</v>
      </c>
      <c r="O89" s="250" t="str">
        <f>IF(O64="Selecione o CNAE","",IF('Faixas e condições'!D25="Sim",0,IF(COUNTIF(IDESE!H3:H8,"Sim")&gt;0,N89,IF(AND(O64=N64,COUNTIF(IDESE!H3:H8,"Sim")=0),N89,IF(AND(O64=N65,COUNTIF(IDESE!H3:H8,"Sim")=0),N90,IF(AND(O64=N66,COUNTIF(IDESE!H3:H8,"Sim")=0),N91,0))))))</f>
        <v/>
      </c>
      <c r="P89" s="251"/>
      <c r="Q89" s="173"/>
      <c r="R89" s="173"/>
      <c r="S89" s="175"/>
    </row>
    <row r="90" spans="2:23" ht="16.2" customHeight="1" x14ac:dyDescent="0.3">
      <c r="B90" s="172"/>
      <c r="C90" s="243"/>
      <c r="D90" s="244"/>
      <c r="E90" s="173"/>
      <c r="F90" s="173"/>
      <c r="G90" s="282"/>
      <c r="H90" s="249"/>
      <c r="I90" s="249"/>
      <c r="J90" s="249"/>
      <c r="K90" s="249"/>
      <c r="L90" s="249"/>
      <c r="M90" s="198" t="s">
        <v>1516</v>
      </c>
      <c r="N90" s="195">
        <v>7</v>
      </c>
      <c r="O90" s="250"/>
      <c r="P90" s="251"/>
      <c r="Q90" s="173"/>
      <c r="R90" s="173"/>
      <c r="S90" s="175"/>
    </row>
    <row r="91" spans="2:23" s="187" customFormat="1" ht="16.2" customHeight="1" x14ac:dyDescent="0.3">
      <c r="B91" s="190"/>
      <c r="C91" s="243"/>
      <c r="D91" s="244"/>
      <c r="E91" s="177"/>
      <c r="F91" s="173"/>
      <c r="G91" s="282"/>
      <c r="H91" s="249"/>
      <c r="I91" s="249"/>
      <c r="J91" s="249"/>
      <c r="K91" s="249"/>
      <c r="L91" s="249"/>
      <c r="M91" s="198" t="s">
        <v>1517</v>
      </c>
      <c r="N91" s="195">
        <v>5</v>
      </c>
      <c r="O91" s="250"/>
      <c r="P91" s="251"/>
      <c r="Q91" s="173"/>
      <c r="R91" s="173"/>
      <c r="S91" s="186"/>
      <c r="V91" s="96"/>
      <c r="W91" s="96"/>
    </row>
    <row r="92" spans="2:23" s="187" customFormat="1" ht="16.2" customHeight="1" x14ac:dyDescent="0.3">
      <c r="B92" s="190"/>
      <c r="C92" s="243"/>
      <c r="D92" s="244"/>
      <c r="E92" s="177"/>
      <c r="F92" s="173"/>
      <c r="G92" s="282"/>
      <c r="H92" s="249"/>
      <c r="I92" s="249"/>
      <c r="J92" s="249"/>
      <c r="K92" s="249"/>
      <c r="L92" s="249"/>
      <c r="M92" s="240" t="s">
        <v>1514</v>
      </c>
      <c r="N92" s="195">
        <v>3</v>
      </c>
      <c r="O92" s="250"/>
      <c r="P92" s="251"/>
      <c r="Q92" s="173"/>
      <c r="R92" s="173"/>
      <c r="S92" s="186"/>
    </row>
    <row r="93" spans="2:23" s="187" customFormat="1" ht="16.2" customHeight="1" x14ac:dyDescent="0.3">
      <c r="B93" s="190"/>
      <c r="C93" s="243"/>
      <c r="D93" s="244"/>
      <c r="E93" s="177"/>
      <c r="F93" s="173"/>
      <c r="G93" s="266" t="s">
        <v>29</v>
      </c>
      <c r="H93" s="267"/>
      <c r="I93" s="267"/>
      <c r="J93" s="267"/>
      <c r="K93" s="267"/>
      <c r="L93" s="267"/>
      <c r="M93" s="239" t="s">
        <v>26</v>
      </c>
      <c r="N93" s="197">
        <v>8</v>
      </c>
      <c r="O93" s="372" t="str">
        <f>IF(F37=0,"",IF(F37="","",IF('Faixas e condições'!D25="Sim",0,IF(F19="Implantação","A pontuar",IF(N22="Selecione","",VLOOKUP(N22,'Impacto ambiental'!B2:C5,2,0)+IF('Impacto ambiental'!C7&gt;=0.1,3,0))))))</f>
        <v/>
      </c>
      <c r="P93" s="373"/>
      <c r="Q93" s="173"/>
      <c r="R93" s="173"/>
      <c r="S93" s="186"/>
    </row>
    <row r="94" spans="2:23" s="187" customFormat="1" ht="16.2" customHeight="1" x14ac:dyDescent="0.3">
      <c r="B94" s="190"/>
      <c r="C94" s="243"/>
      <c r="D94" s="244"/>
      <c r="E94" s="177"/>
      <c r="F94" s="173"/>
      <c r="G94" s="266"/>
      <c r="H94" s="267"/>
      <c r="I94" s="267"/>
      <c r="J94" s="267"/>
      <c r="K94" s="267"/>
      <c r="L94" s="267"/>
      <c r="M94" s="239" t="s">
        <v>27</v>
      </c>
      <c r="N94" s="197">
        <v>3</v>
      </c>
      <c r="O94" s="372"/>
      <c r="P94" s="373"/>
      <c r="Q94" s="173"/>
      <c r="R94" s="173"/>
      <c r="S94" s="186"/>
    </row>
    <row r="95" spans="2:23" s="187" customFormat="1" ht="16.2" customHeight="1" x14ac:dyDescent="0.3">
      <c r="B95" s="190"/>
      <c r="C95" s="243"/>
      <c r="D95" s="244"/>
      <c r="E95" s="177"/>
      <c r="F95" s="173"/>
      <c r="G95" s="247" t="s">
        <v>30</v>
      </c>
      <c r="H95" s="248"/>
      <c r="I95" s="248"/>
      <c r="J95" s="248"/>
      <c r="K95" s="248"/>
      <c r="L95" s="248"/>
      <c r="M95" s="240" t="s">
        <v>31</v>
      </c>
      <c r="N95" s="195">
        <v>5</v>
      </c>
      <c r="O95" s="250" t="str">
        <f>IF(N19="Selecione","",IF(N19="","",IF('Faixas e condições'!D25="Sim",0,IF(N19="Não",0,IF(AND(N19&lt;&gt;"Selecione",N19&lt;&gt;"Não"),N95,"")))))</f>
        <v/>
      </c>
      <c r="P95" s="251"/>
      <c r="Q95" s="173"/>
      <c r="R95" s="173"/>
      <c r="S95" s="186"/>
    </row>
    <row r="96" spans="2:23" ht="40.200000000000003" customHeight="1" thickBot="1" x14ac:dyDescent="0.35">
      <c r="B96" s="172"/>
      <c r="C96" s="243"/>
      <c r="D96" s="244"/>
      <c r="E96" s="173"/>
      <c r="F96" s="173"/>
      <c r="G96" s="280" t="str">
        <f>IF(N56="Fundopem Express","Conforme Parágrafo 6º, Artigo 7º, da Lei 15.642/2021, devido ao enquadramento na modalidade Express, o total aprovado representa 90% da soma da pontuação obtida no INTEGRAR/RS.","")</f>
        <v/>
      </c>
      <c r="H96" s="281"/>
      <c r="I96" s="281"/>
      <c r="J96" s="281"/>
      <c r="K96" s="281"/>
      <c r="L96" s="281"/>
      <c r="M96" s="278" t="str">
        <f>IF(O96=90,"TOTAL APROVADO (máximo 90%)",IF(O96="","TOTAL APROVADO (máximo 90%)","TOTAL APROVADO (máximo 90%) *(B)"))</f>
        <v>TOTAL APROVADO (máximo 90%)</v>
      </c>
      <c r="N96" s="279"/>
      <c r="O96" s="263" t="str">
        <f>IF(SUM(O85:P95)=0,"",IF(N56="Fundopem Express",SUM(O85:P95)*0.9,IF(SUM(O85:P95)&gt;90,90,IF(O85&lt;&gt;"",SUM(O85:P95),""))))</f>
        <v/>
      </c>
      <c r="P96" s="264"/>
      <c r="Q96" s="173"/>
      <c r="R96" s="173"/>
      <c r="S96" s="175"/>
    </row>
    <row r="97" spans="2:23" ht="13.2" customHeight="1" x14ac:dyDescent="0.3">
      <c r="B97" s="172"/>
      <c r="C97" s="243"/>
      <c r="D97" s="244"/>
      <c r="E97" s="173"/>
      <c r="F97" s="173"/>
      <c r="G97" s="261" t="str">
        <f>Textos!B10</f>
        <v/>
      </c>
      <c r="H97" s="261"/>
      <c r="I97" s="261"/>
      <c r="J97" s="261"/>
      <c r="K97" s="261"/>
      <c r="L97" s="261"/>
      <c r="M97" s="261"/>
      <c r="N97" s="261"/>
      <c r="O97" s="261"/>
      <c r="P97" s="261"/>
      <c r="Q97" s="173"/>
      <c r="R97" s="173"/>
      <c r="S97" s="175"/>
    </row>
    <row r="98" spans="2:23" ht="29.4" customHeight="1" x14ac:dyDescent="0.3">
      <c r="B98" s="172"/>
      <c r="C98" s="243"/>
      <c r="D98" s="244"/>
      <c r="E98" s="173"/>
      <c r="F98" s="173"/>
      <c r="G98" s="265" t="str">
        <f>IF('Faixas e condições'!D25="Sim",Textos!B12,Textos!B11)</f>
        <v/>
      </c>
      <c r="H98" s="265"/>
      <c r="I98" s="265"/>
      <c r="J98" s="265"/>
      <c r="K98" s="265"/>
      <c r="L98" s="265"/>
      <c r="M98" s="265"/>
      <c r="N98" s="265"/>
      <c r="O98" s="265"/>
      <c r="P98" s="265"/>
      <c r="Q98" s="173"/>
      <c r="R98" s="173"/>
      <c r="S98" s="175"/>
    </row>
    <row r="99" spans="2:23" s="187" customFormat="1" ht="25.2" customHeight="1" x14ac:dyDescent="0.3">
      <c r="B99" s="190"/>
      <c r="C99" s="243"/>
      <c r="D99" s="244"/>
      <c r="E99" s="177"/>
      <c r="F99" s="177"/>
      <c r="G99" s="265" t="str">
        <f>Textos!B14</f>
        <v/>
      </c>
      <c r="H99" s="265"/>
      <c r="I99" s="265"/>
      <c r="J99" s="265"/>
      <c r="K99" s="265"/>
      <c r="L99" s="265"/>
      <c r="M99" s="265"/>
      <c r="N99" s="265"/>
      <c r="O99" s="265"/>
      <c r="P99" s="265"/>
      <c r="Q99" s="177"/>
      <c r="R99" s="173"/>
      <c r="S99" s="186"/>
    </row>
    <row r="100" spans="2:23" ht="41.25" customHeight="1" x14ac:dyDescent="0.3">
      <c r="B100" s="172"/>
      <c r="C100" s="243"/>
      <c r="D100" s="244"/>
      <c r="E100" s="173"/>
      <c r="F100" s="177"/>
      <c r="G100" s="265" t="str">
        <f>Textos!B15</f>
        <v/>
      </c>
      <c r="H100" s="265"/>
      <c r="I100" s="265"/>
      <c r="J100" s="265"/>
      <c r="K100" s="265"/>
      <c r="L100" s="265"/>
      <c r="M100" s="265"/>
      <c r="N100" s="265"/>
      <c r="O100" s="265"/>
      <c r="P100" s="265"/>
      <c r="Q100" s="177"/>
      <c r="R100" s="173"/>
      <c r="S100" s="175"/>
      <c r="V100" s="187"/>
      <c r="W100" s="187"/>
    </row>
    <row r="101" spans="2:23" ht="41.25" customHeight="1" x14ac:dyDescent="0.3">
      <c r="B101" s="172"/>
      <c r="C101" s="245"/>
      <c r="D101" s="246"/>
      <c r="E101" s="173"/>
      <c r="F101" s="177"/>
      <c r="G101" s="265" t="str">
        <f>IF('Faixas e condições'!D25="Sim",Textos!B17,"")</f>
        <v/>
      </c>
      <c r="H101" s="265"/>
      <c r="I101" s="265"/>
      <c r="J101" s="265"/>
      <c r="K101" s="265"/>
      <c r="L101" s="265"/>
      <c r="M101" s="265"/>
      <c r="N101" s="265"/>
      <c r="O101" s="265"/>
      <c r="P101" s="265"/>
      <c r="Q101" s="177"/>
      <c r="R101" s="173"/>
      <c r="S101" s="175"/>
      <c r="V101" s="187"/>
      <c r="W101" s="187"/>
    </row>
    <row r="102" spans="2:23" ht="16.5" customHeight="1" x14ac:dyDescent="0.3">
      <c r="B102" s="172"/>
      <c r="C102" s="173"/>
      <c r="D102" s="173"/>
      <c r="E102" s="173"/>
      <c r="F102" s="177"/>
      <c r="G102" s="177"/>
      <c r="H102" s="199"/>
      <c r="I102" s="199"/>
      <c r="J102" s="199"/>
      <c r="K102" s="199"/>
      <c r="L102" s="199"/>
      <c r="M102" s="199"/>
      <c r="N102" s="199"/>
      <c r="O102" s="199"/>
      <c r="P102" s="199"/>
      <c r="Q102" s="200"/>
      <c r="R102" s="173"/>
      <c r="S102" s="175"/>
    </row>
    <row r="103" spans="2:23" ht="33" customHeight="1" thickBot="1" x14ac:dyDescent="0.35">
      <c r="B103" s="172"/>
      <c r="C103" s="327" t="s">
        <v>1549</v>
      </c>
      <c r="D103" s="327"/>
      <c r="E103" s="173"/>
      <c r="F103" s="177"/>
      <c r="G103" s="357" t="s">
        <v>32</v>
      </c>
      <c r="H103" s="357"/>
      <c r="I103" s="357"/>
      <c r="J103" s="357"/>
      <c r="K103" s="357"/>
      <c r="L103" s="357"/>
      <c r="M103" s="357"/>
      <c r="N103" s="357"/>
      <c r="O103" s="357"/>
      <c r="P103" s="357"/>
      <c r="Q103" s="200"/>
      <c r="R103" s="173"/>
      <c r="S103" s="175"/>
    </row>
    <row r="104" spans="2:23" ht="16.5" customHeight="1" x14ac:dyDescent="0.3">
      <c r="B104" s="172"/>
      <c r="C104" s="327"/>
      <c r="D104" s="327"/>
      <c r="E104" s="173"/>
      <c r="F104" s="173"/>
      <c r="G104" s="355" t="s">
        <v>33</v>
      </c>
      <c r="H104" s="356"/>
      <c r="I104" s="356"/>
      <c r="J104" s="356"/>
      <c r="K104" s="356"/>
      <c r="L104" s="356"/>
      <c r="M104" s="356"/>
      <c r="N104" s="274"/>
      <c r="O104" s="271" t="s">
        <v>34</v>
      </c>
      <c r="P104" s="272"/>
      <c r="Q104" s="173"/>
      <c r="R104" s="173"/>
      <c r="S104" s="175"/>
    </row>
    <row r="105" spans="2:23" ht="16.2" customHeight="1" x14ac:dyDescent="0.3">
      <c r="B105" s="172"/>
      <c r="C105" s="327"/>
      <c r="D105" s="327"/>
      <c r="E105" s="173"/>
      <c r="F105" s="173"/>
      <c r="G105" s="352" t="s">
        <v>35</v>
      </c>
      <c r="H105" s="353"/>
      <c r="I105" s="353"/>
      <c r="J105" s="353"/>
      <c r="K105" s="353"/>
      <c r="L105" s="353"/>
      <c r="M105" s="353"/>
      <c r="N105" s="354"/>
      <c r="O105" s="220" t="str">
        <f>IFERROR(O77/100,"")</f>
        <v/>
      </c>
      <c r="P105" s="221" t="str">
        <f>IF(O105="","",IF(O105&lt;=40%,"(Faixa 1)",IF(O105&lt;=55%,"(Faixa 2)",IF(O105&lt;=70%,"(Faixa 3)",IF(O105&gt;85%,"(Faixa 5)","(Faixa 4)")))))</f>
        <v/>
      </c>
      <c r="Q105" s="189"/>
      <c r="R105" s="173"/>
      <c r="S105" s="175"/>
    </row>
    <row r="106" spans="2:23" ht="16.2" customHeight="1" x14ac:dyDescent="0.3">
      <c r="B106" s="172"/>
      <c r="C106" s="327"/>
      <c r="D106" s="327"/>
      <c r="E106" s="173"/>
      <c r="F106" s="173"/>
      <c r="G106" s="352" t="s">
        <v>37</v>
      </c>
      <c r="H106" s="353"/>
      <c r="I106" s="353"/>
      <c r="J106" s="353"/>
      <c r="K106" s="353"/>
      <c r="L106" s="353"/>
      <c r="M106" s="353"/>
      <c r="N106" s="354"/>
      <c r="O106" s="358" t="str">
        <f>IF(P105="","",VLOOKUP(P105,'Faixas e condições'!$D$4:$J$8,5,0))</f>
        <v/>
      </c>
      <c r="P106" s="359"/>
      <c r="Q106" s="173"/>
      <c r="R106" s="173"/>
      <c r="S106" s="175"/>
    </row>
    <row r="107" spans="2:23" ht="16.2" customHeight="1" x14ac:dyDescent="0.3">
      <c r="B107" s="172"/>
      <c r="C107" s="327"/>
      <c r="D107" s="327"/>
      <c r="E107" s="173"/>
      <c r="F107" s="173"/>
      <c r="G107" s="352" t="s">
        <v>38</v>
      </c>
      <c r="H107" s="353"/>
      <c r="I107" s="353"/>
      <c r="J107" s="353"/>
      <c r="K107" s="353"/>
      <c r="L107" s="353"/>
      <c r="M107" s="353"/>
      <c r="N107" s="354"/>
      <c r="O107" s="358" t="str">
        <f>IF(P105="","",IF(N56="Fundopem Express","Não se aplica",VLOOKUP(P105,'Faixas e condições'!$D$4:$J$8,6,0)))</f>
        <v/>
      </c>
      <c r="P107" s="359"/>
      <c r="Q107" s="173"/>
      <c r="R107" s="173"/>
      <c r="S107" s="175"/>
    </row>
    <row r="108" spans="2:23" ht="16.2" customHeight="1" x14ac:dyDescent="0.3">
      <c r="B108" s="172"/>
      <c r="C108" s="327"/>
      <c r="D108" s="327"/>
      <c r="E108" s="173"/>
      <c r="F108" s="173"/>
      <c r="G108" s="352" t="s">
        <v>39</v>
      </c>
      <c r="H108" s="353"/>
      <c r="I108" s="353"/>
      <c r="J108" s="353"/>
      <c r="K108" s="353"/>
      <c r="L108" s="353"/>
      <c r="M108" s="353"/>
      <c r="N108" s="354"/>
      <c r="O108" s="358" t="str">
        <f>IF(P105="","",IF(N56="Fundopem Express","Não se aplica",VLOOKUP(P105,'Faixas e condições'!$D$4:$J$8,7,0)))</f>
        <v/>
      </c>
      <c r="P108" s="359"/>
      <c r="Q108" s="173"/>
      <c r="R108" s="173"/>
      <c r="S108" s="175"/>
    </row>
    <row r="109" spans="2:23" ht="16.2" customHeight="1" x14ac:dyDescent="0.3">
      <c r="B109" s="172"/>
      <c r="C109" s="327"/>
      <c r="D109" s="327"/>
      <c r="E109" s="173"/>
      <c r="F109" s="173"/>
      <c r="G109" s="352" t="s">
        <v>36</v>
      </c>
      <c r="H109" s="353"/>
      <c r="I109" s="353"/>
      <c r="J109" s="353"/>
      <c r="K109" s="353"/>
      <c r="L109" s="353"/>
      <c r="M109" s="353"/>
      <c r="N109" s="354"/>
      <c r="O109" s="360" t="str">
        <f>IF(N12="","",IF(P105="","",IF(N56="Fundopem Express","Não se aplica",VLOOKUP(P105,'Faixas e condições'!D2:G8,VLOOKUP(N12,'Faixas e condições'!F10:G13,2,0),0)/100)))</f>
        <v/>
      </c>
      <c r="P109" s="361"/>
      <c r="Q109" s="173"/>
      <c r="R109" s="173"/>
      <c r="S109" s="175"/>
    </row>
    <row r="110" spans="2:23" ht="30" customHeight="1" thickBot="1" x14ac:dyDescent="0.35">
      <c r="B110" s="172"/>
      <c r="C110" s="327"/>
      <c r="D110" s="327"/>
      <c r="E110" s="173"/>
      <c r="F110" s="173"/>
      <c r="G110" s="349" t="s">
        <v>40</v>
      </c>
      <c r="H110" s="350"/>
      <c r="I110" s="350"/>
      <c r="J110" s="350"/>
      <c r="K110" s="350"/>
      <c r="L110" s="350"/>
      <c r="M110" s="350"/>
      <c r="N110" s="351"/>
      <c r="O110" s="362" t="str">
        <f>IF(N19="Selecione","",IF(O96="","",IF(O64&gt;=35,O96/100,IF(AND(N19&lt;&gt;"Selecione",N19&lt;&gt;"Não",N19&lt;&gt;""),O96/100,IF(COUNTIF(IDESE!H3:H8,"Sim")&gt;0,O96/100,IF(COUNTIF(IDESE!F3:F8,"Sim")&gt;0,O96/100,IF(COUNTIF(IDESE!G3:G8,"Sim")&gt;0,O96/100,IF(P37&gt;=MIN('Faixas e condições'!C23,'Faixas e condições'!C24),O96/100,"Enquadramento Condicionado*"))))))))</f>
        <v/>
      </c>
      <c r="P110" s="363"/>
      <c r="Q110" s="173"/>
      <c r="R110" s="173"/>
      <c r="S110" s="175"/>
    </row>
    <row r="111" spans="2:23" ht="30" customHeight="1" x14ac:dyDescent="0.3">
      <c r="B111" s="172"/>
      <c r="C111" s="327"/>
      <c r="D111" s="327"/>
      <c r="E111" s="173"/>
      <c r="F111" s="173"/>
      <c r="G111" s="348" t="str">
        <f>IF(O110="Enquadramento Condicionado*","*: O enquadramento do projeto no INTEGRAR fica condicionado à efetiva geração de "&amp;TEXT('Faixas e condições'!C24,0)&amp;" empregos, conforme Art. 7º da Resolução Normativa Nº 01 - FUNDOPEM/RS e INTEGRAR/RS de 20 de outubro de 2021 e alterações.","")</f>
        <v/>
      </c>
      <c r="H111" s="348"/>
      <c r="I111" s="348"/>
      <c r="J111" s="348"/>
      <c r="K111" s="348"/>
      <c r="L111" s="348"/>
      <c r="M111" s="348"/>
      <c r="N111" s="348"/>
      <c r="O111" s="348"/>
      <c r="P111" s="348"/>
      <c r="Q111" s="173"/>
      <c r="R111" s="173"/>
      <c r="S111" s="175"/>
    </row>
    <row r="112" spans="2:23" ht="15" thickBot="1" x14ac:dyDescent="0.35">
      <c r="B112" s="178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81"/>
    </row>
    <row r="113" spans="2:19" ht="15" hidden="1" customHeight="1" thickBot="1" x14ac:dyDescent="0.35">
      <c r="B113" s="178"/>
      <c r="C113" s="179"/>
      <c r="D113" s="179"/>
      <c r="E113" s="179"/>
      <c r="F113" s="179"/>
      <c r="G113" s="346" t="str">
        <f>IF(O110="Enquadramento Condicionado*","*: O enquadramento do projeto no INTEGRAR fica condicionado à efetiva geração de "&amp;TEXT(ROUNDUP(0.8*#REF!,0),0)&amp;" empregos, conforme Art. 7º da Resolução Normativa Nº 01 - FUNDOPEM/RS e INTEGRAR/RS, de 20 de outubro de 2021.","")</f>
        <v/>
      </c>
      <c r="H113" s="346"/>
      <c r="I113" s="346"/>
      <c r="J113" s="346"/>
      <c r="K113" s="346"/>
      <c r="L113" s="346"/>
      <c r="M113" s="346"/>
      <c r="N113" s="346"/>
      <c r="O113" s="346"/>
      <c r="P113" s="346"/>
      <c r="Q113" s="179"/>
      <c r="R113" s="179"/>
      <c r="S113" s="181"/>
    </row>
    <row r="114" spans="2:19" ht="0" hidden="1" customHeight="1" x14ac:dyDescent="0.3">
      <c r="G114" s="347"/>
      <c r="H114" s="347"/>
      <c r="I114" s="347"/>
      <c r="J114" s="347"/>
      <c r="K114" s="347"/>
      <c r="L114" s="347"/>
      <c r="M114" s="347"/>
      <c r="N114" s="347"/>
      <c r="O114" s="347"/>
      <c r="P114" s="347"/>
    </row>
    <row r="115" spans="2:19" ht="0" hidden="1" customHeight="1" x14ac:dyDescent="0.3">
      <c r="G115" s="179"/>
      <c r="H115" s="179"/>
      <c r="I115" s="179"/>
      <c r="J115" s="179"/>
      <c r="K115" s="201"/>
      <c r="L115" s="201"/>
      <c r="M115" s="201"/>
      <c r="N115" s="202"/>
      <c r="O115" s="203"/>
      <c r="P115" s="179"/>
    </row>
  </sheetData>
  <sheetProtection password="F781" sheet="1" autoFilter="0"/>
  <dataConsolidate/>
  <mergeCells count="138">
    <mergeCell ref="G97:P97"/>
    <mergeCell ref="H62:O62"/>
    <mergeCell ref="H59:O61"/>
    <mergeCell ref="N24:R27"/>
    <mergeCell ref="F37:G37"/>
    <mergeCell ref="P37:Q37"/>
    <mergeCell ref="I22:K22"/>
    <mergeCell ref="I28:K28"/>
    <mergeCell ref="F30:H30"/>
    <mergeCell ref="I30:K30"/>
    <mergeCell ref="F32:H32"/>
    <mergeCell ref="N41:P41"/>
    <mergeCell ref="N43:P43"/>
    <mergeCell ref="G63:J63"/>
    <mergeCell ref="K63:N63"/>
    <mergeCell ref="O63:P63"/>
    <mergeCell ref="G64:J66"/>
    <mergeCell ref="K64:M64"/>
    <mergeCell ref="O64:P68"/>
    <mergeCell ref="K65:M65"/>
    <mergeCell ref="K66:M66"/>
    <mergeCell ref="G67:M67"/>
    <mergeCell ref="G68:M68"/>
    <mergeCell ref="O93:P94"/>
    <mergeCell ref="G113:P114"/>
    <mergeCell ref="G111:P111"/>
    <mergeCell ref="G110:N110"/>
    <mergeCell ref="G109:N109"/>
    <mergeCell ref="G108:N108"/>
    <mergeCell ref="G107:N107"/>
    <mergeCell ref="G104:N104"/>
    <mergeCell ref="G103:P103"/>
    <mergeCell ref="G100:P100"/>
    <mergeCell ref="O108:P108"/>
    <mergeCell ref="O109:P109"/>
    <mergeCell ref="O104:P104"/>
    <mergeCell ref="O110:P110"/>
    <mergeCell ref="O107:P107"/>
    <mergeCell ref="G106:N106"/>
    <mergeCell ref="O106:P106"/>
    <mergeCell ref="G105:N105"/>
    <mergeCell ref="G101:P101"/>
    <mergeCell ref="C103:D111"/>
    <mergeCell ref="M52:N53"/>
    <mergeCell ref="O52:P53"/>
    <mergeCell ref="F26:H26"/>
    <mergeCell ref="I26:K26"/>
    <mergeCell ref="K72:M72"/>
    <mergeCell ref="K73:M73"/>
    <mergeCell ref="N55:Q55"/>
    <mergeCell ref="N56:Q56"/>
    <mergeCell ref="F40:K56"/>
    <mergeCell ref="M46:Q46"/>
    <mergeCell ref="O48:P48"/>
    <mergeCell ref="O50:P50"/>
    <mergeCell ref="N44:Q44"/>
    <mergeCell ref="N40:Q40"/>
    <mergeCell ref="O51:P51"/>
    <mergeCell ref="M51:N51"/>
    <mergeCell ref="M48:N48"/>
    <mergeCell ref="O47:P47"/>
    <mergeCell ref="M50:N50"/>
    <mergeCell ref="Q52:Q53"/>
    <mergeCell ref="G99:P99"/>
    <mergeCell ref="G98:P98"/>
    <mergeCell ref="B2:S2"/>
    <mergeCell ref="C5:D12"/>
    <mergeCell ref="N6:O6"/>
    <mergeCell ref="N8:Q8"/>
    <mergeCell ref="F9:G9"/>
    <mergeCell ref="N9:O9"/>
    <mergeCell ref="N11:O11"/>
    <mergeCell ref="N12:O12"/>
    <mergeCell ref="B3:S3"/>
    <mergeCell ref="I8:J8"/>
    <mergeCell ref="N5:R5"/>
    <mergeCell ref="F12:G12"/>
    <mergeCell ref="I21:K21"/>
    <mergeCell ref="N22:Q22"/>
    <mergeCell ref="F15:I15"/>
    <mergeCell ref="H16:N16"/>
    <mergeCell ref="O16:Q16"/>
    <mergeCell ref="O15:Q15"/>
    <mergeCell ref="C15:D37"/>
    <mergeCell ref="F18:H18"/>
    <mergeCell ref="F36:H36"/>
    <mergeCell ref="P36:Q36"/>
    <mergeCell ref="F28:H28"/>
    <mergeCell ref="N18:P18"/>
    <mergeCell ref="F19:H19"/>
    <mergeCell ref="F21:H21"/>
    <mergeCell ref="F22:H22"/>
    <mergeCell ref="I37:K37"/>
    <mergeCell ref="I32:K32"/>
    <mergeCell ref="N28:O28"/>
    <mergeCell ref="I36:N36"/>
    <mergeCell ref="N19:Q19"/>
    <mergeCell ref="F24:H24"/>
    <mergeCell ref="I24:K24"/>
    <mergeCell ref="N30:R33"/>
    <mergeCell ref="N34:O34"/>
    <mergeCell ref="G95:L95"/>
    <mergeCell ref="O95:P95"/>
    <mergeCell ref="O96:P96"/>
    <mergeCell ref="G85:L86"/>
    <mergeCell ref="G80:P80"/>
    <mergeCell ref="G74:J75"/>
    <mergeCell ref="G81:P81"/>
    <mergeCell ref="O85:P86"/>
    <mergeCell ref="G79:P79"/>
    <mergeCell ref="O84:P84"/>
    <mergeCell ref="M84:N84"/>
    <mergeCell ref="G84:L84"/>
    <mergeCell ref="G76:M76"/>
    <mergeCell ref="O76:P76"/>
    <mergeCell ref="K74:M74"/>
    <mergeCell ref="O74:P75"/>
    <mergeCell ref="K75:M75"/>
    <mergeCell ref="M96:N96"/>
    <mergeCell ref="G96:L96"/>
    <mergeCell ref="G89:L92"/>
    <mergeCell ref="O89:P92"/>
    <mergeCell ref="G93:L94"/>
    <mergeCell ref="G87:L87"/>
    <mergeCell ref="G88:L88"/>
    <mergeCell ref="C40:D56"/>
    <mergeCell ref="C59:D81"/>
    <mergeCell ref="G69:J73"/>
    <mergeCell ref="K69:M69"/>
    <mergeCell ref="O69:P73"/>
    <mergeCell ref="K70:M70"/>
    <mergeCell ref="K71:M71"/>
    <mergeCell ref="O87:P88"/>
    <mergeCell ref="G77:N77"/>
    <mergeCell ref="O77:P77"/>
    <mergeCell ref="G78:P78"/>
    <mergeCell ref="G83:P83"/>
    <mergeCell ref="C83:D101"/>
  </mergeCells>
  <conditionalFormatting sqref="G78:P80">
    <cfRule type="cellIs" dxfId="54" priority="19" operator="equal">
      <formula>"Remover linha para impressão"</formula>
    </cfRule>
  </conditionalFormatting>
  <conditionalFormatting sqref="G97:P100">
    <cfRule type="cellIs" dxfId="53" priority="17" operator="equal">
      <formula>"Selecione a atividade da empresa"</formula>
    </cfRule>
    <cfRule type="expression" dxfId="52" priority="18">
      <formula>$O$115="10%  FIXO"</formula>
    </cfRule>
  </conditionalFormatting>
  <conditionalFormatting sqref="G97:P100">
    <cfRule type="cellIs" dxfId="51" priority="16" operator="equal">
      <formula>"Remover linha para impressão"</formula>
    </cfRule>
  </conditionalFormatting>
  <conditionalFormatting sqref="G78:P81">
    <cfRule type="cellIs" dxfId="50" priority="22" operator="equal">
      <formula>"Selecione a atividade da empresa"</formula>
    </cfRule>
    <cfRule type="expression" dxfId="49" priority="23">
      <formula>#REF!="10%  FIXO"</formula>
    </cfRule>
  </conditionalFormatting>
  <conditionalFormatting sqref="G113">
    <cfRule type="cellIs" dxfId="48" priority="52" operator="equal">
      <formula>"Preencher ROB da empresa"</formula>
    </cfRule>
    <cfRule type="expression" dxfId="47" priority="53">
      <formula>$O$110="10%  FIXO"</formula>
    </cfRule>
  </conditionalFormatting>
  <conditionalFormatting sqref="Q41 P42:Q42 Q43">
    <cfRule type="cellIs" dxfId="46" priority="14" operator="equal">
      <formula>"Condicionado*"</formula>
    </cfRule>
    <cfRule type="cellIs" dxfId="45" priority="15" operator="equal">
      <formula>"Satisfaz"</formula>
    </cfRule>
  </conditionalFormatting>
  <conditionalFormatting sqref="O49:P49">
    <cfRule type="cellIs" dxfId="44" priority="10" operator="equal">
      <formula>"Não satisfaz"</formula>
    </cfRule>
    <cfRule type="cellIs" dxfId="43" priority="11" operator="equal">
      <formula>"Satisfaz"</formula>
    </cfRule>
  </conditionalFormatting>
  <conditionalFormatting sqref="N56:Q56">
    <cfRule type="cellIs" dxfId="42" priority="5" operator="equal">
      <formula>"Projeto não se enquadra para opção Express"</formula>
    </cfRule>
  </conditionalFormatting>
  <conditionalFormatting sqref="Q41">
    <cfRule type="cellIs" dxfId="41" priority="4" operator="equal">
      <formula>"Não Satisfaz"</formula>
    </cfRule>
  </conditionalFormatting>
  <conditionalFormatting sqref="G101:P101">
    <cfRule type="cellIs" dxfId="2" priority="2" operator="equal">
      <formula>"Selecione a atividade da empresa"</formula>
    </cfRule>
    <cfRule type="expression" dxfId="1" priority="3">
      <formula>$O$115="10%  FIXO"</formula>
    </cfRule>
  </conditionalFormatting>
  <conditionalFormatting sqref="G101:P101">
    <cfRule type="cellIs" dxfId="0" priority="1" operator="equal">
      <formula>"Remover linha para impressão"</formula>
    </cfRule>
  </conditionalFormatting>
  <dataValidations count="1">
    <dataValidation allowBlank="1" showInputMessage="1" showErrorMessage="1" prompt="Digite apenas números. Exemplo: 8, 15, 100" sqref="N6 P37 Q43"/>
  </dataValidations>
  <hyperlinks>
    <hyperlink ref="I8" r:id="rId1" display=" (link de informacao)"/>
  </hyperlinks>
  <pageMargins left="0.511811024" right="0.511811024" top="0.78740157499999996" bottom="0.78740157499999996" header="0.31496062000000002" footer="0.31496062000000002"/>
  <pageSetup paperSize="9" scale="70"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'Base de dados'!$B$14:$B$16</xm:f>
          </x14:formula1>
          <xm:sqref>F6 N34</xm:sqref>
        </x14:dataValidation>
        <x14:dataValidation type="list" allowBlank="1" showInputMessage="1" showErrorMessage="1">
          <x14:formula1>
            <xm:f>'Base de dados'!$B$8:$B$11</xm:f>
          </x14:formula1>
          <xm:sqref>F9:G9</xm:sqref>
        </x14:dataValidation>
        <x14:dataValidation type="list" allowBlank="1" showInputMessage="1" showErrorMessage="1">
          <x14:formula1>
            <xm:f>CNAEs!$B$3:$B$403</xm:f>
          </x14:formula1>
          <xm:sqref>F16</xm:sqref>
        </x14:dataValidation>
        <x14:dataValidation type="list" allowBlank="1" showInputMessage="1" showErrorMessage="1">
          <x14:formula1>
            <xm:f>'Base de dados'!$G$3:$G$7</xm:f>
          </x14:formula1>
          <xm:sqref>F19:H19</xm:sqref>
        </x14:dataValidation>
        <x14:dataValidation type="list" allowBlank="1" showInputMessage="1" showErrorMessage="1">
          <x14:formula1>
            <xm:f>'Base de dados'!$G$10:$G$14</xm:f>
          </x14:formula1>
          <xm:sqref>N22</xm:sqref>
        </x14:dataValidation>
        <x14:dataValidation type="list" allowBlank="1" showInputMessage="1" showErrorMessage="1">
          <x14:formula1>
            <xm:f>'Base de dados'!$G$16:$G$17</xm:f>
          </x14:formula1>
          <xm:sqref>O16:Q16</xm:sqref>
        </x14:dataValidation>
        <x14:dataValidation type="list" allowBlank="1" showInputMessage="1" showErrorMessage="1">
          <x14:formula1>
            <xm:f>'Base de dados'!$G$19:$G$20</xm:f>
          </x14:formula1>
          <xm:sqref>N56:Q56</xm:sqref>
        </x14:dataValidation>
        <x14:dataValidation type="list" allowBlank="1" showInputMessage="1" showErrorMessage="1">
          <x14:formula1>
            <xm:f>'Idese-Corede'!$B$3:$B$500</xm:f>
          </x14:formula1>
          <xm:sqref>F22:H22 F24:H24 F26:H26 F28:H28 F30:H30 F32:H32</xm:sqref>
        </x14:dataValidation>
        <x14:dataValidation type="list" allowBlank="1" showInputMessage="1" showErrorMessage="1">
          <x14:formula1>
            <xm:f>'Base de dados'!$B$19:$B$28</xm:f>
          </x14:formula1>
          <xm:sqref>N19:Q19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B2:G28"/>
  <sheetViews>
    <sheetView workbookViewId="0">
      <selection activeCell="M17" sqref="M17"/>
    </sheetView>
  </sheetViews>
  <sheetFormatPr defaultColWidth="9.109375" defaultRowHeight="14.4" x14ac:dyDescent="0.3"/>
  <cols>
    <col min="1" max="1" width="3.88671875" style="17" customWidth="1"/>
    <col min="2" max="16384" width="9.109375" style="17"/>
  </cols>
  <sheetData>
    <row r="2" spans="2:7" x14ac:dyDescent="0.3">
      <c r="B2" s="161" t="s">
        <v>5</v>
      </c>
      <c r="G2" s="162" t="s">
        <v>4</v>
      </c>
    </row>
    <row r="3" spans="2:7" x14ac:dyDescent="0.3">
      <c r="B3" s="163" t="s">
        <v>1</v>
      </c>
      <c r="G3" s="17" t="s">
        <v>1</v>
      </c>
    </row>
    <row r="4" spans="2:7" x14ac:dyDescent="0.3">
      <c r="B4" s="164" t="s">
        <v>844</v>
      </c>
      <c r="G4" s="17" t="s">
        <v>894</v>
      </c>
    </row>
    <row r="5" spans="2:7" x14ac:dyDescent="0.3">
      <c r="B5" s="17" t="s">
        <v>845</v>
      </c>
      <c r="G5" s="17" t="s">
        <v>895</v>
      </c>
    </row>
    <row r="6" spans="2:7" x14ac:dyDescent="0.3">
      <c r="G6" s="17" t="s">
        <v>896</v>
      </c>
    </row>
    <row r="7" spans="2:7" x14ac:dyDescent="0.3">
      <c r="B7" s="161" t="s">
        <v>6</v>
      </c>
      <c r="C7" s="165"/>
      <c r="D7" s="165"/>
      <c r="G7" s="17" t="s">
        <v>897</v>
      </c>
    </row>
    <row r="8" spans="2:7" x14ac:dyDescent="0.3">
      <c r="B8" s="163" t="s">
        <v>1</v>
      </c>
      <c r="C8" s="165"/>
      <c r="D8" s="165"/>
    </row>
    <row r="9" spans="2:7" x14ac:dyDescent="0.3">
      <c r="B9" s="165" t="s">
        <v>845</v>
      </c>
      <c r="G9" s="162" t="s">
        <v>8</v>
      </c>
    </row>
    <row r="10" spans="2:7" x14ac:dyDescent="0.3">
      <c r="B10" s="17" t="s">
        <v>22</v>
      </c>
      <c r="G10" s="17" t="s">
        <v>1</v>
      </c>
    </row>
    <row r="11" spans="2:7" x14ac:dyDescent="0.3">
      <c r="B11" s="17" t="s">
        <v>23</v>
      </c>
      <c r="G11" s="17" t="s">
        <v>898</v>
      </c>
    </row>
    <row r="12" spans="2:7" x14ac:dyDescent="0.3">
      <c r="G12" s="17" t="s">
        <v>899</v>
      </c>
    </row>
    <row r="13" spans="2:7" x14ac:dyDescent="0.3">
      <c r="B13" s="161" t="s">
        <v>7</v>
      </c>
      <c r="G13" s="17" t="s">
        <v>900</v>
      </c>
    </row>
    <row r="14" spans="2:7" x14ac:dyDescent="0.3">
      <c r="B14" s="165" t="s">
        <v>1</v>
      </c>
      <c r="G14" s="17" t="s">
        <v>901</v>
      </c>
    </row>
    <row r="15" spans="2:7" x14ac:dyDescent="0.3">
      <c r="B15" s="164" t="s">
        <v>844</v>
      </c>
    </row>
    <row r="16" spans="2:7" x14ac:dyDescent="0.3">
      <c r="B16" s="17" t="s">
        <v>845</v>
      </c>
      <c r="G16" s="164" t="s">
        <v>844</v>
      </c>
    </row>
    <row r="17" spans="2:7" ht="15" customHeight="1" x14ac:dyDescent="0.3">
      <c r="C17" s="166"/>
      <c r="D17" s="166"/>
      <c r="E17" s="166"/>
      <c r="F17" s="166"/>
      <c r="G17" s="17" t="s">
        <v>845</v>
      </c>
    </row>
    <row r="18" spans="2:7" x14ac:dyDescent="0.3">
      <c r="B18" s="416" t="s">
        <v>892</v>
      </c>
      <c r="C18" s="416"/>
      <c r="D18" s="416"/>
      <c r="E18" s="416"/>
      <c r="F18" s="416"/>
    </row>
    <row r="19" spans="2:7" x14ac:dyDescent="0.3">
      <c r="B19" s="165" t="s">
        <v>1</v>
      </c>
      <c r="G19" s="17" t="s">
        <v>1546</v>
      </c>
    </row>
    <row r="20" spans="2:7" x14ac:dyDescent="0.3">
      <c r="B20" s="17" t="s">
        <v>845</v>
      </c>
      <c r="G20" s="17" t="str">
        <f>IF(Simulação!Q41="","",IF(Simulação!Q41="Satisfaz","Fundopem Express","Projeto não se enquadra para opção Express"))</f>
        <v/>
      </c>
    </row>
    <row r="21" spans="2:7" x14ac:dyDescent="0.3">
      <c r="B21" s="164" t="s">
        <v>1553</v>
      </c>
    </row>
    <row r="22" spans="2:7" x14ac:dyDescent="0.3">
      <c r="B22" s="17" t="s">
        <v>1554</v>
      </c>
    </row>
    <row r="23" spans="2:7" x14ac:dyDescent="0.3">
      <c r="B23" s="17" t="s">
        <v>1555</v>
      </c>
    </row>
    <row r="24" spans="2:7" x14ac:dyDescent="0.3">
      <c r="B24" s="17" t="s">
        <v>1556</v>
      </c>
    </row>
    <row r="25" spans="2:7" x14ac:dyDescent="0.3">
      <c r="B25" s="17" t="s">
        <v>1557</v>
      </c>
    </row>
    <row r="26" spans="2:7" x14ac:dyDescent="0.3">
      <c r="B26" s="17" t="s">
        <v>1558</v>
      </c>
    </row>
    <row r="27" spans="2:7" x14ac:dyDescent="0.3">
      <c r="B27" s="17" t="s">
        <v>1559</v>
      </c>
    </row>
    <row r="28" spans="2:7" x14ac:dyDescent="0.3">
      <c r="B28" s="17" t="s">
        <v>1560</v>
      </c>
    </row>
  </sheetData>
  <sheetProtection algorithmName="SHA-512" hashValue="LdX3H0N4atUc8NUJ7/jrD8+emEq8OXBKZ/sLDTjtjv8u+PhF/BqepnQXrs2k6wvqBUd2qeXsXF8+m7zxRCKdRw==" saltValue="8/o4lCPpffqI/4zjFcFSAw==" spinCount="100000" sheet="1" objects="1" scenarios="1"/>
  <mergeCells count="1">
    <mergeCell ref="B18:F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B1:E403"/>
  <sheetViews>
    <sheetView topLeftCell="A368" workbookViewId="0">
      <selection activeCell="B398" sqref="B398:D398"/>
    </sheetView>
  </sheetViews>
  <sheetFormatPr defaultColWidth="9.109375" defaultRowHeight="14.4" x14ac:dyDescent="0.3"/>
  <cols>
    <col min="1" max="1" width="3.33203125" style="17" customWidth="1"/>
    <col min="2" max="2" width="11.88671875" style="16" customWidth="1"/>
    <col min="3" max="3" width="112.88671875" style="17" bestFit="1" customWidth="1"/>
    <col min="4" max="4" width="19" style="16" customWidth="1"/>
    <col min="5" max="5" width="18.33203125" style="16" customWidth="1"/>
    <col min="6" max="16384" width="9.109375" style="17"/>
  </cols>
  <sheetData>
    <row r="1" spans="2:5" ht="15" thickBot="1" x14ac:dyDescent="0.35"/>
    <row r="2" spans="2:5" ht="15" thickBot="1" x14ac:dyDescent="0.35">
      <c r="B2" s="18" t="s">
        <v>41</v>
      </c>
      <c r="C2" s="19" t="s">
        <v>42</v>
      </c>
      <c r="D2" s="20" t="s">
        <v>43</v>
      </c>
      <c r="E2" s="21" t="s">
        <v>1496</v>
      </c>
    </row>
    <row r="3" spans="2:5" x14ac:dyDescent="0.3">
      <c r="B3" s="22" t="s">
        <v>44</v>
      </c>
      <c r="C3" s="23" t="s">
        <v>45</v>
      </c>
      <c r="D3" s="24">
        <v>25</v>
      </c>
      <c r="E3" s="25"/>
    </row>
    <row r="4" spans="2:5" x14ac:dyDescent="0.3">
      <c r="B4" s="26" t="s">
        <v>46</v>
      </c>
      <c r="C4" s="27" t="s">
        <v>47</v>
      </c>
      <c r="D4" s="28">
        <v>25</v>
      </c>
      <c r="E4" s="29"/>
    </row>
    <row r="5" spans="2:5" x14ac:dyDescent="0.3">
      <c r="B5" s="26" t="s">
        <v>48</v>
      </c>
      <c r="C5" s="27" t="s">
        <v>49</v>
      </c>
      <c r="D5" s="28">
        <v>25</v>
      </c>
      <c r="E5" s="29"/>
    </row>
    <row r="6" spans="2:5" x14ac:dyDescent="0.3">
      <c r="B6" s="26" t="s">
        <v>50</v>
      </c>
      <c r="C6" s="27" t="s">
        <v>51</v>
      </c>
      <c r="D6" s="28">
        <v>25</v>
      </c>
      <c r="E6" s="29"/>
    </row>
    <row r="7" spans="2:5" x14ac:dyDescent="0.3">
      <c r="B7" s="26" t="s">
        <v>52</v>
      </c>
      <c r="C7" s="27" t="s">
        <v>53</v>
      </c>
      <c r="D7" s="28">
        <v>25</v>
      </c>
      <c r="E7" s="29"/>
    </row>
    <row r="8" spans="2:5" x14ac:dyDescent="0.3">
      <c r="B8" s="26" t="s">
        <v>54</v>
      </c>
      <c r="C8" s="27" t="s">
        <v>55</v>
      </c>
      <c r="D8" s="28">
        <v>25</v>
      </c>
      <c r="E8" s="29"/>
    </row>
    <row r="9" spans="2:5" x14ac:dyDescent="0.3">
      <c r="B9" s="26" t="s">
        <v>56</v>
      </c>
      <c r="C9" s="27" t="s">
        <v>57</v>
      </c>
      <c r="D9" s="28">
        <v>25</v>
      </c>
      <c r="E9" s="29"/>
    </row>
    <row r="10" spans="2:5" x14ac:dyDescent="0.3">
      <c r="B10" s="26" t="s">
        <v>58</v>
      </c>
      <c r="C10" s="27" t="s">
        <v>59</v>
      </c>
      <c r="D10" s="28">
        <v>25</v>
      </c>
      <c r="E10" s="29"/>
    </row>
    <row r="11" spans="2:5" x14ac:dyDescent="0.3">
      <c r="B11" s="26" t="s">
        <v>60</v>
      </c>
      <c r="C11" s="27" t="s">
        <v>61</v>
      </c>
      <c r="D11" s="28">
        <v>25</v>
      </c>
      <c r="E11" s="29"/>
    </row>
    <row r="12" spans="2:5" x14ac:dyDescent="0.3">
      <c r="B12" s="30" t="s">
        <v>62</v>
      </c>
      <c r="C12" s="31" t="s">
        <v>63</v>
      </c>
      <c r="D12" s="32">
        <v>55</v>
      </c>
      <c r="E12" s="29">
        <v>16</v>
      </c>
    </row>
    <row r="13" spans="2:5" x14ac:dyDescent="0.3">
      <c r="B13" s="26" t="s">
        <v>64</v>
      </c>
      <c r="C13" s="27" t="s">
        <v>65</v>
      </c>
      <c r="D13" s="28">
        <v>25</v>
      </c>
      <c r="E13" s="29">
        <v>16</v>
      </c>
    </row>
    <row r="14" spans="2:5" x14ac:dyDescent="0.3">
      <c r="B14" s="26" t="s">
        <v>66</v>
      </c>
      <c r="C14" s="27" t="s">
        <v>67</v>
      </c>
      <c r="D14" s="28">
        <v>25</v>
      </c>
      <c r="E14" s="29">
        <v>16</v>
      </c>
    </row>
    <row r="15" spans="2:5" x14ac:dyDescent="0.3">
      <c r="B15" s="26" t="s">
        <v>68</v>
      </c>
      <c r="C15" s="27" t="s">
        <v>69</v>
      </c>
      <c r="D15" s="28">
        <v>25</v>
      </c>
      <c r="E15" s="29">
        <v>16</v>
      </c>
    </row>
    <row r="16" spans="2:5" x14ac:dyDescent="0.3">
      <c r="B16" s="26" t="s">
        <v>70</v>
      </c>
      <c r="C16" s="27" t="s">
        <v>71</v>
      </c>
      <c r="D16" s="28">
        <v>25</v>
      </c>
      <c r="E16" s="29">
        <v>16</v>
      </c>
    </row>
    <row r="17" spans="2:5" x14ac:dyDescent="0.3">
      <c r="B17" s="33" t="s">
        <v>72</v>
      </c>
      <c r="C17" s="34" t="s">
        <v>73</v>
      </c>
      <c r="D17" s="32">
        <v>55</v>
      </c>
      <c r="E17" s="29">
        <v>36</v>
      </c>
    </row>
    <row r="18" spans="2:5" x14ac:dyDescent="0.3">
      <c r="B18" s="26" t="s">
        <v>74</v>
      </c>
      <c r="C18" s="27" t="s">
        <v>75</v>
      </c>
      <c r="D18" s="28">
        <v>25</v>
      </c>
      <c r="E18" s="29">
        <v>36</v>
      </c>
    </row>
    <row r="19" spans="2:5" x14ac:dyDescent="0.3">
      <c r="B19" s="33" t="s">
        <v>76</v>
      </c>
      <c r="C19" s="34" t="s">
        <v>77</v>
      </c>
      <c r="D19" s="32">
        <v>55</v>
      </c>
      <c r="E19" s="29">
        <v>36</v>
      </c>
    </row>
    <row r="20" spans="2:5" x14ac:dyDescent="0.3">
      <c r="B20" s="26" t="s">
        <v>78</v>
      </c>
      <c r="C20" s="27" t="s">
        <v>79</v>
      </c>
      <c r="D20" s="28">
        <v>25</v>
      </c>
      <c r="E20" s="29">
        <v>36</v>
      </c>
    </row>
    <row r="21" spans="2:5" x14ac:dyDescent="0.3">
      <c r="B21" s="30" t="s">
        <v>82</v>
      </c>
      <c r="C21" s="31" t="s">
        <v>83</v>
      </c>
      <c r="D21" s="32">
        <v>55</v>
      </c>
      <c r="E21" s="29">
        <v>29</v>
      </c>
    </row>
    <row r="22" spans="2:5" x14ac:dyDescent="0.3">
      <c r="B22" s="26" t="s">
        <v>80</v>
      </c>
      <c r="C22" s="27" t="s">
        <v>81</v>
      </c>
      <c r="D22" s="28">
        <v>25</v>
      </c>
      <c r="E22" s="29">
        <v>35</v>
      </c>
    </row>
    <row r="23" spans="2:5" x14ac:dyDescent="0.3">
      <c r="B23" s="26" t="s">
        <v>84</v>
      </c>
      <c r="C23" s="27" t="s">
        <v>85</v>
      </c>
      <c r="D23" s="28">
        <v>25</v>
      </c>
      <c r="E23" s="29">
        <v>35</v>
      </c>
    </row>
    <row r="24" spans="2:5" x14ac:dyDescent="0.3">
      <c r="B24" s="33" t="s">
        <v>86</v>
      </c>
      <c r="C24" s="34" t="s">
        <v>87</v>
      </c>
      <c r="D24" s="32">
        <v>55</v>
      </c>
      <c r="E24" s="29">
        <v>40</v>
      </c>
    </row>
    <row r="25" spans="2:5" x14ac:dyDescent="0.3">
      <c r="B25" s="26" t="s">
        <v>88</v>
      </c>
      <c r="C25" s="27" t="s">
        <v>89</v>
      </c>
      <c r="D25" s="28">
        <v>25</v>
      </c>
      <c r="E25" s="29">
        <v>24</v>
      </c>
    </row>
    <row r="26" spans="2:5" x14ac:dyDescent="0.3">
      <c r="B26" s="33" t="s">
        <v>90</v>
      </c>
      <c r="C26" s="34" t="s">
        <v>91</v>
      </c>
      <c r="D26" s="32">
        <v>55</v>
      </c>
      <c r="E26" s="29">
        <v>24</v>
      </c>
    </row>
    <row r="27" spans="2:5" x14ac:dyDescent="0.3">
      <c r="B27" s="33" t="s">
        <v>92</v>
      </c>
      <c r="C27" s="34" t="s">
        <v>93</v>
      </c>
      <c r="D27" s="32">
        <v>55</v>
      </c>
      <c r="E27" s="29">
        <v>27</v>
      </c>
    </row>
    <row r="28" spans="2:5" x14ac:dyDescent="0.3">
      <c r="B28" s="33" t="s">
        <v>94</v>
      </c>
      <c r="C28" s="34" t="s">
        <v>95</v>
      </c>
      <c r="D28" s="32">
        <v>55</v>
      </c>
      <c r="E28" s="29">
        <v>27</v>
      </c>
    </row>
    <row r="29" spans="2:5" x14ac:dyDescent="0.3">
      <c r="B29" s="33" t="s">
        <v>96</v>
      </c>
      <c r="C29" s="34" t="s">
        <v>97</v>
      </c>
      <c r="D29" s="32">
        <v>55</v>
      </c>
      <c r="E29" s="29">
        <v>4</v>
      </c>
    </row>
    <row r="30" spans="2:5" x14ac:dyDescent="0.3">
      <c r="B30" s="33" t="s">
        <v>98</v>
      </c>
      <c r="C30" s="34" t="s">
        <v>99</v>
      </c>
      <c r="D30" s="32">
        <v>55</v>
      </c>
      <c r="E30" s="29">
        <v>6</v>
      </c>
    </row>
    <row r="31" spans="2:5" x14ac:dyDescent="0.3">
      <c r="B31" s="26" t="s">
        <v>100</v>
      </c>
      <c r="C31" s="27" t="s">
        <v>101</v>
      </c>
      <c r="D31" s="28">
        <v>25</v>
      </c>
      <c r="E31" s="29">
        <v>4</v>
      </c>
    </row>
    <row r="32" spans="2:5" x14ac:dyDescent="0.3">
      <c r="B32" s="33" t="s">
        <v>102</v>
      </c>
      <c r="C32" s="34" t="s">
        <v>103</v>
      </c>
      <c r="D32" s="32">
        <v>55</v>
      </c>
      <c r="E32" s="29">
        <v>10</v>
      </c>
    </row>
    <row r="33" spans="2:5" x14ac:dyDescent="0.3">
      <c r="B33" s="33" t="s">
        <v>104</v>
      </c>
      <c r="C33" s="34" t="s">
        <v>105</v>
      </c>
      <c r="D33" s="32">
        <v>55</v>
      </c>
      <c r="E33" s="29">
        <v>16</v>
      </c>
    </row>
    <row r="34" spans="2:5" x14ac:dyDescent="0.3">
      <c r="B34" s="26" t="s">
        <v>106</v>
      </c>
      <c r="C34" s="27" t="s">
        <v>107</v>
      </c>
      <c r="D34" s="28">
        <v>25</v>
      </c>
      <c r="E34" s="29">
        <v>40</v>
      </c>
    </row>
    <row r="35" spans="2:5" x14ac:dyDescent="0.3">
      <c r="B35" s="33" t="s">
        <v>108</v>
      </c>
      <c r="C35" s="34" t="s">
        <v>109</v>
      </c>
      <c r="D35" s="32">
        <v>55</v>
      </c>
      <c r="E35" s="29">
        <v>11</v>
      </c>
    </row>
    <row r="36" spans="2:5" x14ac:dyDescent="0.3">
      <c r="B36" s="33" t="s">
        <v>110</v>
      </c>
      <c r="C36" s="34" t="s">
        <v>111</v>
      </c>
      <c r="D36" s="32">
        <v>55</v>
      </c>
      <c r="E36" s="29">
        <v>11</v>
      </c>
    </row>
    <row r="37" spans="2:5" x14ac:dyDescent="0.3">
      <c r="B37" s="33" t="s">
        <v>112</v>
      </c>
      <c r="C37" s="34" t="s">
        <v>113</v>
      </c>
      <c r="D37" s="32">
        <v>55</v>
      </c>
      <c r="E37" s="29">
        <v>13</v>
      </c>
    </row>
    <row r="38" spans="2:5" x14ac:dyDescent="0.3">
      <c r="B38" s="26" t="s">
        <v>114</v>
      </c>
      <c r="C38" s="27" t="s">
        <v>115</v>
      </c>
      <c r="D38" s="28">
        <v>25</v>
      </c>
      <c r="E38" s="29">
        <v>27</v>
      </c>
    </row>
    <row r="39" spans="2:5" x14ac:dyDescent="0.3">
      <c r="B39" s="33" t="s">
        <v>116</v>
      </c>
      <c r="C39" s="34" t="s">
        <v>117</v>
      </c>
      <c r="D39" s="32">
        <v>55</v>
      </c>
      <c r="E39" s="29">
        <v>32</v>
      </c>
    </row>
    <row r="40" spans="2:5" x14ac:dyDescent="0.3">
      <c r="B40" s="33" t="s">
        <v>118</v>
      </c>
      <c r="C40" s="34" t="s">
        <v>119</v>
      </c>
      <c r="D40" s="32">
        <v>55</v>
      </c>
      <c r="E40" s="29">
        <v>13</v>
      </c>
    </row>
    <row r="41" spans="2:5" x14ac:dyDescent="0.3">
      <c r="B41" s="33" t="s">
        <v>120</v>
      </c>
      <c r="C41" s="34" t="s">
        <v>121</v>
      </c>
      <c r="D41" s="32">
        <v>55</v>
      </c>
      <c r="E41" s="29">
        <v>13</v>
      </c>
    </row>
    <row r="42" spans="2:5" x14ac:dyDescent="0.3">
      <c r="B42" s="33" t="s">
        <v>122</v>
      </c>
      <c r="C42" s="34" t="s">
        <v>123</v>
      </c>
      <c r="D42" s="32">
        <v>55</v>
      </c>
      <c r="E42" s="29">
        <v>13</v>
      </c>
    </row>
    <row r="43" spans="2:5" x14ac:dyDescent="0.3">
      <c r="B43" s="26" t="s">
        <v>124</v>
      </c>
      <c r="C43" s="27" t="s">
        <v>125</v>
      </c>
      <c r="D43" s="28">
        <v>25</v>
      </c>
      <c r="E43" s="29">
        <v>13</v>
      </c>
    </row>
    <row r="44" spans="2:5" x14ac:dyDescent="0.3">
      <c r="B44" s="26" t="s">
        <v>126</v>
      </c>
      <c r="C44" s="27" t="s">
        <v>127</v>
      </c>
      <c r="D44" s="28">
        <v>25</v>
      </c>
      <c r="E44" s="29">
        <v>21</v>
      </c>
    </row>
    <row r="45" spans="2:5" x14ac:dyDescent="0.3">
      <c r="B45" s="26" t="s">
        <v>128</v>
      </c>
      <c r="C45" s="27" t="s">
        <v>129</v>
      </c>
      <c r="D45" s="28">
        <v>25</v>
      </c>
      <c r="E45" s="29">
        <v>39</v>
      </c>
    </row>
    <row r="46" spans="2:5" x14ac:dyDescent="0.3">
      <c r="B46" s="26" t="s">
        <v>130</v>
      </c>
      <c r="C46" s="27" t="s">
        <v>131</v>
      </c>
      <c r="D46" s="28">
        <v>25</v>
      </c>
      <c r="E46" s="29">
        <v>50</v>
      </c>
    </row>
    <row r="47" spans="2:5" x14ac:dyDescent="0.3">
      <c r="B47" s="26" t="s">
        <v>132</v>
      </c>
      <c r="C47" s="27" t="s">
        <v>133</v>
      </c>
      <c r="D47" s="28">
        <v>25</v>
      </c>
      <c r="E47" s="29">
        <v>50</v>
      </c>
    </row>
    <row r="48" spans="2:5" x14ac:dyDescent="0.3">
      <c r="B48" s="26" t="s">
        <v>134</v>
      </c>
      <c r="C48" s="27" t="s">
        <v>135</v>
      </c>
      <c r="D48" s="28">
        <v>25</v>
      </c>
      <c r="E48" s="29">
        <v>10</v>
      </c>
    </row>
    <row r="49" spans="2:5" x14ac:dyDescent="0.3">
      <c r="B49" s="26" t="s">
        <v>136</v>
      </c>
      <c r="C49" s="27" t="s">
        <v>137</v>
      </c>
      <c r="D49" s="28">
        <v>25</v>
      </c>
      <c r="E49" s="29">
        <v>10</v>
      </c>
    </row>
    <row r="50" spans="2:5" x14ac:dyDescent="0.3">
      <c r="B50" s="26" t="s">
        <v>138</v>
      </c>
      <c r="C50" s="27" t="s">
        <v>139</v>
      </c>
      <c r="D50" s="28">
        <v>25</v>
      </c>
      <c r="E50" s="29">
        <v>5</v>
      </c>
    </row>
    <row r="51" spans="2:5" x14ac:dyDescent="0.3">
      <c r="B51" s="33" t="s">
        <v>140</v>
      </c>
      <c r="C51" s="34" t="s">
        <v>141</v>
      </c>
      <c r="D51" s="32">
        <v>55</v>
      </c>
      <c r="E51" s="29">
        <v>71</v>
      </c>
    </row>
    <row r="52" spans="2:5" x14ac:dyDescent="0.3">
      <c r="B52" s="33" t="s">
        <v>142</v>
      </c>
      <c r="C52" s="34" t="s">
        <v>143</v>
      </c>
      <c r="D52" s="32">
        <v>55</v>
      </c>
      <c r="E52" s="29">
        <v>71</v>
      </c>
    </row>
    <row r="53" spans="2:5" x14ac:dyDescent="0.3">
      <c r="B53" s="33" t="s">
        <v>144</v>
      </c>
      <c r="C53" s="34" t="s">
        <v>145</v>
      </c>
      <c r="D53" s="32">
        <v>55</v>
      </c>
      <c r="E53" s="29">
        <v>37</v>
      </c>
    </row>
    <row r="54" spans="2:5" x14ac:dyDescent="0.3">
      <c r="B54" s="26" t="s">
        <v>146</v>
      </c>
      <c r="C54" s="27" t="s">
        <v>147</v>
      </c>
      <c r="D54" s="28">
        <v>25</v>
      </c>
      <c r="E54" s="29">
        <v>17</v>
      </c>
    </row>
    <row r="55" spans="2:5" x14ac:dyDescent="0.3">
      <c r="B55" s="26" t="s">
        <v>148</v>
      </c>
      <c r="C55" s="27" t="s">
        <v>149</v>
      </c>
      <c r="D55" s="28">
        <v>25</v>
      </c>
      <c r="E55" s="29">
        <v>17</v>
      </c>
    </row>
    <row r="56" spans="2:5" x14ac:dyDescent="0.3">
      <c r="B56" s="33" t="s">
        <v>150</v>
      </c>
      <c r="C56" s="34" t="s">
        <v>151</v>
      </c>
      <c r="D56" s="32">
        <v>55</v>
      </c>
      <c r="E56" s="29">
        <v>39</v>
      </c>
    </row>
    <row r="57" spans="2:5" x14ac:dyDescent="0.3">
      <c r="B57" s="33" t="s">
        <v>152</v>
      </c>
      <c r="C57" s="34" t="s">
        <v>153</v>
      </c>
      <c r="D57" s="32">
        <v>55</v>
      </c>
      <c r="E57" s="29">
        <v>23</v>
      </c>
    </row>
    <row r="58" spans="2:5" x14ac:dyDescent="0.3">
      <c r="B58" s="26" t="s">
        <v>154</v>
      </c>
      <c r="C58" s="27" t="s">
        <v>155</v>
      </c>
      <c r="D58" s="28">
        <v>25</v>
      </c>
      <c r="E58" s="29">
        <v>44</v>
      </c>
    </row>
    <row r="59" spans="2:5" x14ac:dyDescent="0.3">
      <c r="B59" s="26" t="s">
        <v>156</v>
      </c>
      <c r="C59" s="27" t="s">
        <v>157</v>
      </c>
      <c r="D59" s="28">
        <v>25</v>
      </c>
      <c r="E59" s="29">
        <v>26</v>
      </c>
    </row>
    <row r="60" spans="2:5" x14ac:dyDescent="0.3">
      <c r="B60" s="26" t="s">
        <v>158</v>
      </c>
      <c r="C60" s="27" t="s">
        <v>159</v>
      </c>
      <c r="D60" s="28">
        <v>25</v>
      </c>
      <c r="E60" s="29">
        <v>26</v>
      </c>
    </row>
    <row r="61" spans="2:5" x14ac:dyDescent="0.3">
      <c r="B61" s="26" t="s">
        <v>160</v>
      </c>
      <c r="C61" s="27" t="s">
        <v>161</v>
      </c>
      <c r="D61" s="28">
        <v>25</v>
      </c>
      <c r="E61" s="29">
        <v>26</v>
      </c>
    </row>
    <row r="62" spans="2:5" x14ac:dyDescent="0.3">
      <c r="B62" s="26" t="s">
        <v>162</v>
      </c>
      <c r="C62" s="27" t="s">
        <v>163</v>
      </c>
      <c r="D62" s="28">
        <v>25</v>
      </c>
      <c r="E62" s="29">
        <v>26</v>
      </c>
    </row>
    <row r="63" spans="2:5" x14ac:dyDescent="0.3">
      <c r="B63" s="26" t="s">
        <v>164</v>
      </c>
      <c r="C63" s="27" t="s">
        <v>165</v>
      </c>
      <c r="D63" s="28">
        <v>25</v>
      </c>
      <c r="E63" s="29">
        <v>26</v>
      </c>
    </row>
    <row r="64" spans="2:5" x14ac:dyDescent="0.3">
      <c r="B64" s="26" t="s">
        <v>166</v>
      </c>
      <c r="C64" s="27" t="s">
        <v>167</v>
      </c>
      <c r="D64" s="28">
        <v>25</v>
      </c>
      <c r="E64" s="29">
        <v>26</v>
      </c>
    </row>
    <row r="65" spans="2:5" x14ac:dyDescent="0.3">
      <c r="B65" s="26" t="s">
        <v>168</v>
      </c>
      <c r="C65" s="27" t="s">
        <v>169</v>
      </c>
      <c r="D65" s="28">
        <v>25</v>
      </c>
      <c r="E65" s="29">
        <v>26</v>
      </c>
    </row>
    <row r="66" spans="2:5" x14ac:dyDescent="0.3">
      <c r="B66" s="33" t="s">
        <v>170</v>
      </c>
      <c r="C66" s="34" t="s">
        <v>171</v>
      </c>
      <c r="D66" s="32">
        <v>55</v>
      </c>
      <c r="E66" s="29">
        <v>26</v>
      </c>
    </row>
    <row r="67" spans="2:5" x14ac:dyDescent="0.3">
      <c r="B67" s="26" t="s">
        <v>172</v>
      </c>
      <c r="C67" s="27" t="s">
        <v>173</v>
      </c>
      <c r="D67" s="28">
        <v>25</v>
      </c>
      <c r="E67" s="29">
        <v>20</v>
      </c>
    </row>
    <row r="68" spans="2:5" x14ac:dyDescent="0.3">
      <c r="B68" s="26" t="s">
        <v>174</v>
      </c>
      <c r="C68" s="27" t="s">
        <v>175</v>
      </c>
      <c r="D68" s="28">
        <v>25</v>
      </c>
      <c r="E68" s="29">
        <v>20</v>
      </c>
    </row>
    <row r="69" spans="2:5" x14ac:dyDescent="0.3">
      <c r="B69" s="33" t="s">
        <v>176</v>
      </c>
      <c r="C69" s="34" t="s">
        <v>177</v>
      </c>
      <c r="D69" s="32">
        <v>55</v>
      </c>
      <c r="E69" s="29">
        <v>17</v>
      </c>
    </row>
    <row r="70" spans="2:5" x14ac:dyDescent="0.3">
      <c r="B70" s="26" t="s">
        <v>178</v>
      </c>
      <c r="C70" s="27" t="s">
        <v>179</v>
      </c>
      <c r="D70" s="28">
        <v>25</v>
      </c>
      <c r="E70" s="29">
        <v>9</v>
      </c>
    </row>
    <row r="71" spans="2:5" x14ac:dyDescent="0.3">
      <c r="B71" s="26" t="s">
        <v>180</v>
      </c>
      <c r="C71" s="27" t="s">
        <v>181</v>
      </c>
      <c r="D71" s="28">
        <v>25</v>
      </c>
      <c r="E71" s="29">
        <v>9</v>
      </c>
    </row>
    <row r="72" spans="2:5" x14ac:dyDescent="0.3">
      <c r="B72" s="26" t="s">
        <v>182</v>
      </c>
      <c r="C72" s="27" t="s">
        <v>183</v>
      </c>
      <c r="D72" s="28">
        <v>25</v>
      </c>
      <c r="E72" s="29">
        <v>60</v>
      </c>
    </row>
    <row r="73" spans="2:5" x14ac:dyDescent="0.3">
      <c r="B73" s="26" t="s">
        <v>184</v>
      </c>
      <c r="C73" s="27" t="s">
        <v>185</v>
      </c>
      <c r="D73" s="28">
        <v>25</v>
      </c>
      <c r="E73" s="29">
        <v>21</v>
      </c>
    </row>
    <row r="74" spans="2:5" x14ac:dyDescent="0.3">
      <c r="B74" s="26" t="s">
        <v>186</v>
      </c>
      <c r="C74" s="27" t="s">
        <v>187</v>
      </c>
      <c r="D74" s="28">
        <v>25</v>
      </c>
      <c r="E74" s="29">
        <v>21</v>
      </c>
    </row>
    <row r="75" spans="2:5" x14ac:dyDescent="0.3">
      <c r="B75" s="26" t="s">
        <v>188</v>
      </c>
      <c r="C75" s="27" t="s">
        <v>189</v>
      </c>
      <c r="D75" s="28">
        <v>25</v>
      </c>
      <c r="E75" s="29">
        <v>21</v>
      </c>
    </row>
    <row r="76" spans="2:5" x14ac:dyDescent="0.3">
      <c r="B76" s="26" t="s">
        <v>190</v>
      </c>
      <c r="C76" s="27" t="s">
        <v>191</v>
      </c>
      <c r="D76" s="28">
        <v>25</v>
      </c>
      <c r="E76" s="29">
        <v>21</v>
      </c>
    </row>
    <row r="77" spans="2:5" x14ac:dyDescent="0.3">
      <c r="B77" s="26" t="s">
        <v>192</v>
      </c>
      <c r="C77" s="27" t="s">
        <v>193</v>
      </c>
      <c r="D77" s="28">
        <v>25</v>
      </c>
      <c r="E77" s="29">
        <v>21</v>
      </c>
    </row>
    <row r="78" spans="2:5" x14ac:dyDescent="0.3">
      <c r="B78" s="26" t="s">
        <v>194</v>
      </c>
      <c r="C78" s="27" t="s">
        <v>195</v>
      </c>
      <c r="D78" s="28">
        <v>25</v>
      </c>
      <c r="E78" s="29">
        <v>7</v>
      </c>
    </row>
    <row r="79" spans="2:5" x14ac:dyDescent="0.3">
      <c r="B79" s="26" t="s">
        <v>196</v>
      </c>
      <c r="C79" s="27" t="s">
        <v>197</v>
      </c>
      <c r="D79" s="28">
        <v>25</v>
      </c>
      <c r="E79" s="29">
        <v>18</v>
      </c>
    </row>
    <row r="80" spans="2:5" x14ac:dyDescent="0.3">
      <c r="B80" s="26" t="s">
        <v>198</v>
      </c>
      <c r="C80" s="27" t="s">
        <v>199</v>
      </c>
      <c r="D80" s="28">
        <v>25</v>
      </c>
      <c r="E80" s="29">
        <v>18</v>
      </c>
    </row>
    <row r="81" spans="2:5" x14ac:dyDescent="0.3">
      <c r="B81" s="26" t="s">
        <v>200</v>
      </c>
      <c r="C81" s="27" t="s">
        <v>201</v>
      </c>
      <c r="D81" s="28">
        <v>25</v>
      </c>
      <c r="E81" s="29">
        <v>18</v>
      </c>
    </row>
    <row r="82" spans="2:5" x14ac:dyDescent="0.3">
      <c r="B82" s="26" t="s">
        <v>202</v>
      </c>
      <c r="C82" s="27" t="s">
        <v>203</v>
      </c>
      <c r="D82" s="28">
        <v>25</v>
      </c>
      <c r="E82" s="29">
        <v>18</v>
      </c>
    </row>
    <row r="83" spans="2:5" x14ac:dyDescent="0.3">
      <c r="B83" s="26" t="s">
        <v>204</v>
      </c>
      <c r="C83" s="27" t="s">
        <v>205</v>
      </c>
      <c r="D83" s="28">
        <v>25</v>
      </c>
      <c r="E83" s="29">
        <v>39</v>
      </c>
    </row>
    <row r="84" spans="2:5" x14ac:dyDescent="0.3">
      <c r="B84" s="26" t="s">
        <v>206</v>
      </c>
      <c r="C84" s="27" t="s">
        <v>207</v>
      </c>
      <c r="D84" s="28">
        <v>25</v>
      </c>
      <c r="E84" s="29">
        <v>58</v>
      </c>
    </row>
    <row r="85" spans="2:5" x14ac:dyDescent="0.3">
      <c r="B85" s="26" t="s">
        <v>208</v>
      </c>
      <c r="C85" s="27" t="s">
        <v>209</v>
      </c>
      <c r="D85" s="28">
        <v>25</v>
      </c>
      <c r="E85" s="29">
        <v>47</v>
      </c>
    </row>
    <row r="86" spans="2:5" x14ac:dyDescent="0.3">
      <c r="B86" s="26" t="s">
        <v>210</v>
      </c>
      <c r="C86" s="27" t="s">
        <v>211</v>
      </c>
      <c r="D86" s="28">
        <v>25</v>
      </c>
      <c r="E86" s="29">
        <v>49</v>
      </c>
    </row>
    <row r="87" spans="2:5" x14ac:dyDescent="0.3">
      <c r="B87" s="26" t="s">
        <v>212</v>
      </c>
      <c r="C87" s="27" t="s">
        <v>213</v>
      </c>
      <c r="D87" s="28">
        <v>25</v>
      </c>
      <c r="E87" s="29">
        <v>49</v>
      </c>
    </row>
    <row r="88" spans="2:5" x14ac:dyDescent="0.3">
      <c r="B88" s="26" t="s">
        <v>214</v>
      </c>
      <c r="C88" s="27" t="s">
        <v>215</v>
      </c>
      <c r="D88" s="28">
        <v>25</v>
      </c>
      <c r="E88" s="29">
        <v>90</v>
      </c>
    </row>
    <row r="89" spans="2:5" x14ac:dyDescent="0.3">
      <c r="B89" s="26" t="s">
        <v>216</v>
      </c>
      <c r="C89" s="27" t="s">
        <v>217</v>
      </c>
      <c r="D89" s="28">
        <v>25</v>
      </c>
      <c r="E89" s="29">
        <v>42</v>
      </c>
    </row>
    <row r="90" spans="2:5" x14ac:dyDescent="0.3">
      <c r="B90" s="26" t="s">
        <v>218</v>
      </c>
      <c r="C90" s="27" t="s">
        <v>219</v>
      </c>
      <c r="D90" s="28">
        <v>25</v>
      </c>
      <c r="E90" s="29">
        <v>31</v>
      </c>
    </row>
    <row r="91" spans="2:5" x14ac:dyDescent="0.3">
      <c r="B91" s="26" t="s">
        <v>220</v>
      </c>
      <c r="C91" s="27" t="s">
        <v>221</v>
      </c>
      <c r="D91" s="28">
        <v>25</v>
      </c>
      <c r="E91" s="29">
        <v>79</v>
      </c>
    </row>
    <row r="92" spans="2:5" x14ac:dyDescent="0.3">
      <c r="B92" s="26" t="s">
        <v>222</v>
      </c>
      <c r="C92" s="27" t="s">
        <v>223</v>
      </c>
      <c r="D92" s="28">
        <v>25</v>
      </c>
      <c r="E92" s="29">
        <v>79</v>
      </c>
    </row>
    <row r="93" spans="2:5" x14ac:dyDescent="0.3">
      <c r="B93" s="26" t="s">
        <v>224</v>
      </c>
      <c r="C93" s="27" t="s">
        <v>225</v>
      </c>
      <c r="D93" s="28">
        <v>25</v>
      </c>
      <c r="E93" s="29">
        <v>79</v>
      </c>
    </row>
    <row r="94" spans="2:5" x14ac:dyDescent="0.3">
      <c r="B94" s="26" t="s">
        <v>226</v>
      </c>
      <c r="C94" s="27" t="s">
        <v>227</v>
      </c>
      <c r="D94" s="28">
        <v>25</v>
      </c>
      <c r="E94" s="29">
        <v>65</v>
      </c>
    </row>
    <row r="95" spans="2:5" x14ac:dyDescent="0.3">
      <c r="B95" s="26" t="s">
        <v>228</v>
      </c>
      <c r="C95" s="27" t="s">
        <v>229</v>
      </c>
      <c r="D95" s="28">
        <v>25</v>
      </c>
      <c r="E95" s="29">
        <v>45</v>
      </c>
    </row>
    <row r="96" spans="2:5" x14ac:dyDescent="0.3">
      <c r="B96" s="26" t="s">
        <v>230</v>
      </c>
      <c r="C96" s="27" t="s">
        <v>231</v>
      </c>
      <c r="D96" s="28">
        <v>25</v>
      </c>
      <c r="E96" s="29">
        <v>54</v>
      </c>
    </row>
    <row r="97" spans="2:5" x14ac:dyDescent="0.3">
      <c r="B97" s="26" t="s">
        <v>232</v>
      </c>
      <c r="C97" s="27" t="s">
        <v>233</v>
      </c>
      <c r="D97" s="28">
        <v>25</v>
      </c>
      <c r="E97" s="29">
        <v>26</v>
      </c>
    </row>
    <row r="98" spans="2:5" x14ac:dyDescent="0.3">
      <c r="B98" s="26" t="s">
        <v>234</v>
      </c>
      <c r="C98" s="27" t="s">
        <v>235</v>
      </c>
      <c r="D98" s="28">
        <v>25</v>
      </c>
      <c r="E98" s="29">
        <v>71</v>
      </c>
    </row>
    <row r="99" spans="2:5" x14ac:dyDescent="0.3">
      <c r="B99" s="26" t="s">
        <v>236</v>
      </c>
      <c r="C99" s="27" t="s">
        <v>237</v>
      </c>
      <c r="D99" s="28">
        <v>25</v>
      </c>
      <c r="E99" s="29">
        <v>109</v>
      </c>
    </row>
    <row r="100" spans="2:5" x14ac:dyDescent="0.3">
      <c r="B100" s="26" t="s">
        <v>238</v>
      </c>
      <c r="C100" s="27" t="s">
        <v>239</v>
      </c>
      <c r="D100" s="28">
        <v>25</v>
      </c>
      <c r="E100" s="29">
        <v>109</v>
      </c>
    </row>
    <row r="101" spans="2:5" x14ac:dyDescent="0.3">
      <c r="B101" s="26" t="s">
        <v>240</v>
      </c>
      <c r="C101" s="27" t="s">
        <v>241</v>
      </c>
      <c r="D101" s="28">
        <v>25</v>
      </c>
      <c r="E101" s="29">
        <v>89</v>
      </c>
    </row>
    <row r="102" spans="2:5" x14ac:dyDescent="0.3">
      <c r="B102" s="26" t="s">
        <v>242</v>
      </c>
      <c r="C102" s="27" t="s">
        <v>243</v>
      </c>
      <c r="D102" s="28">
        <v>25</v>
      </c>
      <c r="E102" s="29">
        <v>89</v>
      </c>
    </row>
    <row r="103" spans="2:5" x14ac:dyDescent="0.3">
      <c r="B103" s="26" t="s">
        <v>244</v>
      </c>
      <c r="C103" s="27" t="s">
        <v>245</v>
      </c>
      <c r="D103" s="28">
        <v>25</v>
      </c>
      <c r="E103" s="29">
        <v>89</v>
      </c>
    </row>
    <row r="104" spans="2:5" x14ac:dyDescent="0.3">
      <c r="B104" s="26" t="s">
        <v>246</v>
      </c>
      <c r="C104" s="27" t="s">
        <v>247</v>
      </c>
      <c r="D104" s="28">
        <v>25</v>
      </c>
      <c r="E104" s="29">
        <v>93</v>
      </c>
    </row>
    <row r="105" spans="2:5" x14ac:dyDescent="0.3">
      <c r="B105" s="26" t="s">
        <v>248</v>
      </c>
      <c r="C105" s="27" t="s">
        <v>249</v>
      </c>
      <c r="D105" s="28">
        <v>25</v>
      </c>
      <c r="E105" s="29">
        <v>93</v>
      </c>
    </row>
    <row r="106" spans="2:5" x14ac:dyDescent="0.3">
      <c r="B106" s="26" t="s">
        <v>250</v>
      </c>
      <c r="C106" s="27" t="s">
        <v>251</v>
      </c>
      <c r="D106" s="28">
        <v>25</v>
      </c>
      <c r="E106" s="29">
        <v>93</v>
      </c>
    </row>
    <row r="107" spans="2:5" x14ac:dyDescent="0.3">
      <c r="B107" s="26" t="s">
        <v>252</v>
      </c>
      <c r="C107" s="27" t="s">
        <v>253</v>
      </c>
      <c r="D107" s="28">
        <v>25</v>
      </c>
      <c r="E107" s="29">
        <v>117</v>
      </c>
    </row>
    <row r="108" spans="2:5" x14ac:dyDescent="0.3">
      <c r="B108" s="26" t="s">
        <v>254</v>
      </c>
      <c r="C108" s="27" t="s">
        <v>255</v>
      </c>
      <c r="D108" s="28">
        <v>25</v>
      </c>
      <c r="E108" s="29">
        <v>68</v>
      </c>
    </row>
    <row r="109" spans="2:5" x14ac:dyDescent="0.3">
      <c r="B109" s="26" t="s">
        <v>256</v>
      </c>
      <c r="C109" s="27" t="s">
        <v>257</v>
      </c>
      <c r="D109" s="28">
        <v>25</v>
      </c>
      <c r="E109" s="29">
        <v>108</v>
      </c>
    </row>
    <row r="110" spans="2:5" x14ac:dyDescent="0.3">
      <c r="B110" s="26" t="s">
        <v>258</v>
      </c>
      <c r="C110" s="27" t="s">
        <v>259</v>
      </c>
      <c r="D110" s="28">
        <v>25</v>
      </c>
      <c r="E110" s="29">
        <v>27</v>
      </c>
    </row>
    <row r="111" spans="2:5" x14ac:dyDescent="0.3">
      <c r="B111" s="35" t="s">
        <v>260</v>
      </c>
      <c r="C111" s="36" t="s">
        <v>261</v>
      </c>
      <c r="D111" s="37">
        <v>45</v>
      </c>
      <c r="E111" s="29">
        <v>84</v>
      </c>
    </row>
    <row r="112" spans="2:5" x14ac:dyDescent="0.3">
      <c r="B112" s="35" t="s">
        <v>262</v>
      </c>
      <c r="C112" s="36" t="s">
        <v>263</v>
      </c>
      <c r="D112" s="37">
        <v>45</v>
      </c>
      <c r="E112" s="29">
        <v>97</v>
      </c>
    </row>
    <row r="113" spans="2:5" x14ac:dyDescent="0.3">
      <c r="B113" s="35" t="s">
        <v>264</v>
      </c>
      <c r="C113" s="36" t="s">
        <v>265</v>
      </c>
      <c r="D113" s="37">
        <v>45</v>
      </c>
      <c r="E113" s="29">
        <v>101</v>
      </c>
    </row>
    <row r="114" spans="2:5" x14ac:dyDescent="0.3">
      <c r="B114" s="35" t="s">
        <v>266</v>
      </c>
      <c r="C114" s="36" t="s">
        <v>267</v>
      </c>
      <c r="D114" s="37">
        <v>45</v>
      </c>
      <c r="E114" s="29">
        <v>101</v>
      </c>
    </row>
    <row r="115" spans="2:5" x14ac:dyDescent="0.3">
      <c r="B115" s="35" t="s">
        <v>268</v>
      </c>
      <c r="C115" s="36" t="s">
        <v>269</v>
      </c>
      <c r="D115" s="37">
        <v>45</v>
      </c>
      <c r="E115" s="29">
        <v>104</v>
      </c>
    </row>
    <row r="116" spans="2:5" x14ac:dyDescent="0.3">
      <c r="B116" s="35" t="s">
        <v>270</v>
      </c>
      <c r="C116" s="36" t="s">
        <v>271</v>
      </c>
      <c r="D116" s="37">
        <v>45</v>
      </c>
      <c r="E116" s="29">
        <v>81</v>
      </c>
    </row>
    <row r="117" spans="2:5" x14ac:dyDescent="0.3">
      <c r="B117" s="35" t="s">
        <v>272</v>
      </c>
      <c r="C117" s="36" t="s">
        <v>273</v>
      </c>
      <c r="D117" s="37">
        <v>45</v>
      </c>
      <c r="E117" s="29">
        <v>68</v>
      </c>
    </row>
    <row r="118" spans="2:5" x14ac:dyDescent="0.3">
      <c r="B118" s="35" t="s">
        <v>274</v>
      </c>
      <c r="C118" s="36" t="s">
        <v>275</v>
      </c>
      <c r="D118" s="37">
        <v>45</v>
      </c>
      <c r="E118" s="29">
        <v>108</v>
      </c>
    </row>
    <row r="119" spans="2:5" x14ac:dyDescent="0.3">
      <c r="B119" s="38" t="s">
        <v>276</v>
      </c>
      <c r="C119" s="39" t="s">
        <v>277</v>
      </c>
      <c r="D119" s="40">
        <v>50</v>
      </c>
      <c r="E119" s="29">
        <v>60</v>
      </c>
    </row>
    <row r="120" spans="2:5" x14ac:dyDescent="0.3">
      <c r="B120" s="38" t="s">
        <v>278</v>
      </c>
      <c r="C120" s="39" t="s">
        <v>279</v>
      </c>
      <c r="D120" s="40">
        <v>50</v>
      </c>
      <c r="E120" s="29">
        <v>60</v>
      </c>
    </row>
    <row r="121" spans="2:5" x14ac:dyDescent="0.3">
      <c r="B121" s="38" t="s">
        <v>280</v>
      </c>
      <c r="C121" s="39" t="s">
        <v>281</v>
      </c>
      <c r="D121" s="40">
        <v>50</v>
      </c>
      <c r="E121" s="29">
        <v>60</v>
      </c>
    </row>
    <row r="122" spans="2:5" x14ac:dyDescent="0.3">
      <c r="B122" s="38" t="s">
        <v>282</v>
      </c>
      <c r="C122" s="39" t="s">
        <v>283</v>
      </c>
      <c r="D122" s="40">
        <v>50</v>
      </c>
      <c r="E122" s="29">
        <v>29</v>
      </c>
    </row>
    <row r="123" spans="2:5" x14ac:dyDescent="0.3">
      <c r="B123" s="38" t="s">
        <v>284</v>
      </c>
      <c r="C123" s="39" t="s">
        <v>285</v>
      </c>
      <c r="D123" s="40">
        <v>50</v>
      </c>
      <c r="E123" s="29">
        <v>76</v>
      </c>
    </row>
    <row r="124" spans="2:5" x14ac:dyDescent="0.3">
      <c r="B124" s="38" t="s">
        <v>286</v>
      </c>
      <c r="C124" s="39" t="s">
        <v>287</v>
      </c>
      <c r="D124" s="40">
        <v>50</v>
      </c>
      <c r="E124" s="29">
        <v>76</v>
      </c>
    </row>
    <row r="125" spans="2:5" x14ac:dyDescent="0.3">
      <c r="B125" s="38" t="s">
        <v>288</v>
      </c>
      <c r="C125" s="39" t="s">
        <v>289</v>
      </c>
      <c r="D125" s="40">
        <v>50</v>
      </c>
      <c r="E125" s="29">
        <v>76</v>
      </c>
    </row>
    <row r="126" spans="2:5" x14ac:dyDescent="0.3">
      <c r="B126" s="38" t="s">
        <v>290</v>
      </c>
      <c r="C126" s="39" t="s">
        <v>291</v>
      </c>
      <c r="D126" s="40">
        <v>50</v>
      </c>
      <c r="E126" s="29">
        <v>61</v>
      </c>
    </row>
    <row r="127" spans="2:5" x14ac:dyDescent="0.3">
      <c r="B127" s="38" t="s">
        <v>292</v>
      </c>
      <c r="C127" s="39" t="s">
        <v>293</v>
      </c>
      <c r="D127" s="40">
        <v>50</v>
      </c>
      <c r="E127" s="29">
        <v>79</v>
      </c>
    </row>
    <row r="128" spans="2:5" x14ac:dyDescent="0.3">
      <c r="B128" s="38" t="s">
        <v>294</v>
      </c>
      <c r="C128" s="39" t="s">
        <v>295</v>
      </c>
      <c r="D128" s="40">
        <v>50</v>
      </c>
      <c r="E128" s="29">
        <v>79</v>
      </c>
    </row>
    <row r="129" spans="2:5" x14ac:dyDescent="0.3">
      <c r="B129" s="38" t="s">
        <v>296</v>
      </c>
      <c r="C129" s="39" t="s">
        <v>297</v>
      </c>
      <c r="D129" s="40">
        <v>50</v>
      </c>
      <c r="E129" s="29">
        <v>6</v>
      </c>
    </row>
    <row r="130" spans="2:5" x14ac:dyDescent="0.3">
      <c r="B130" s="38" t="s">
        <v>298</v>
      </c>
      <c r="C130" s="39" t="s">
        <v>299</v>
      </c>
      <c r="D130" s="40">
        <v>50</v>
      </c>
      <c r="E130" s="29">
        <v>13</v>
      </c>
    </row>
    <row r="131" spans="2:5" x14ac:dyDescent="0.3">
      <c r="B131" s="38" t="s">
        <v>300</v>
      </c>
      <c r="C131" s="39" t="s">
        <v>301</v>
      </c>
      <c r="D131" s="40">
        <v>50</v>
      </c>
      <c r="E131" s="29">
        <v>22</v>
      </c>
    </row>
    <row r="132" spans="2:5" x14ac:dyDescent="0.3">
      <c r="B132" s="38" t="s">
        <v>302</v>
      </c>
      <c r="C132" s="39" t="s">
        <v>303</v>
      </c>
      <c r="D132" s="40">
        <v>50</v>
      </c>
      <c r="E132" s="29">
        <v>35</v>
      </c>
    </row>
    <row r="133" spans="2:5" x14ac:dyDescent="0.3">
      <c r="B133" s="38" t="s">
        <v>304</v>
      </c>
      <c r="C133" s="39" t="s">
        <v>305</v>
      </c>
      <c r="D133" s="40">
        <v>50</v>
      </c>
      <c r="E133" s="29">
        <v>14</v>
      </c>
    </row>
    <row r="134" spans="2:5" x14ac:dyDescent="0.3">
      <c r="B134" s="38" t="s">
        <v>306</v>
      </c>
      <c r="C134" s="39" t="s">
        <v>307</v>
      </c>
      <c r="D134" s="40">
        <v>50</v>
      </c>
      <c r="E134" s="29">
        <v>28</v>
      </c>
    </row>
    <row r="135" spans="2:5" x14ac:dyDescent="0.3">
      <c r="B135" s="38" t="s">
        <v>308</v>
      </c>
      <c r="C135" s="39" t="s">
        <v>309</v>
      </c>
      <c r="D135" s="40">
        <v>50</v>
      </c>
      <c r="E135" s="29">
        <v>31</v>
      </c>
    </row>
    <row r="136" spans="2:5" x14ac:dyDescent="0.3">
      <c r="B136" s="38" t="s">
        <v>310</v>
      </c>
      <c r="C136" s="39" t="s">
        <v>311</v>
      </c>
      <c r="D136" s="40">
        <v>50</v>
      </c>
      <c r="E136" s="29">
        <v>31</v>
      </c>
    </row>
    <row r="137" spans="2:5" x14ac:dyDescent="0.3">
      <c r="B137" s="38" t="s">
        <v>312</v>
      </c>
      <c r="C137" s="39" t="s">
        <v>313</v>
      </c>
      <c r="D137" s="40">
        <v>50</v>
      </c>
      <c r="E137" s="29">
        <v>20</v>
      </c>
    </row>
    <row r="138" spans="2:5" x14ac:dyDescent="0.3">
      <c r="B138" s="38" t="s">
        <v>314</v>
      </c>
      <c r="C138" s="39" t="s">
        <v>315</v>
      </c>
      <c r="D138" s="40">
        <v>50</v>
      </c>
      <c r="E138" s="29">
        <v>20</v>
      </c>
    </row>
    <row r="139" spans="2:5" x14ac:dyDescent="0.3">
      <c r="B139" s="38" t="s">
        <v>316</v>
      </c>
      <c r="C139" s="39" t="s">
        <v>317</v>
      </c>
      <c r="D139" s="40">
        <v>50</v>
      </c>
      <c r="E139" s="29">
        <v>20</v>
      </c>
    </row>
    <row r="140" spans="2:5" x14ac:dyDescent="0.3">
      <c r="B140" s="38" t="s">
        <v>318</v>
      </c>
      <c r="C140" s="39" t="s">
        <v>319</v>
      </c>
      <c r="D140" s="40">
        <v>50</v>
      </c>
      <c r="E140" s="29">
        <v>32</v>
      </c>
    </row>
    <row r="141" spans="2:5" x14ac:dyDescent="0.3">
      <c r="B141" s="26" t="s">
        <v>320</v>
      </c>
      <c r="C141" s="27" t="s">
        <v>321</v>
      </c>
      <c r="D141" s="28">
        <v>25</v>
      </c>
      <c r="E141" s="29">
        <v>36</v>
      </c>
    </row>
    <row r="142" spans="2:5" x14ac:dyDescent="0.3">
      <c r="B142" s="26" t="s">
        <v>322</v>
      </c>
      <c r="C142" s="27" t="s">
        <v>323</v>
      </c>
      <c r="D142" s="28">
        <v>25</v>
      </c>
      <c r="E142" s="29">
        <v>36</v>
      </c>
    </row>
    <row r="143" spans="2:5" x14ac:dyDescent="0.3">
      <c r="B143" s="26" t="s">
        <v>324</v>
      </c>
      <c r="C143" s="27" t="s">
        <v>325</v>
      </c>
      <c r="D143" s="28">
        <v>25</v>
      </c>
      <c r="E143" s="29">
        <v>26</v>
      </c>
    </row>
    <row r="144" spans="2:5" x14ac:dyDescent="0.3">
      <c r="B144" s="26" t="s">
        <v>326</v>
      </c>
      <c r="C144" s="27" t="s">
        <v>327</v>
      </c>
      <c r="D144" s="28">
        <v>25</v>
      </c>
      <c r="E144" s="29">
        <v>42</v>
      </c>
    </row>
    <row r="145" spans="2:5" x14ac:dyDescent="0.3">
      <c r="B145" s="26" t="s">
        <v>328</v>
      </c>
      <c r="C145" s="27" t="s">
        <v>329</v>
      </c>
      <c r="D145" s="28">
        <v>25</v>
      </c>
      <c r="E145" s="29">
        <v>42</v>
      </c>
    </row>
    <row r="146" spans="2:5" x14ac:dyDescent="0.3">
      <c r="B146" s="26" t="s">
        <v>330</v>
      </c>
      <c r="C146" s="27" t="s">
        <v>331</v>
      </c>
      <c r="D146" s="28">
        <v>25</v>
      </c>
      <c r="E146" s="29">
        <v>69</v>
      </c>
    </row>
    <row r="147" spans="2:5" x14ac:dyDescent="0.3">
      <c r="B147" s="26" t="s">
        <v>332</v>
      </c>
      <c r="C147" s="27" t="s">
        <v>333</v>
      </c>
      <c r="D147" s="28">
        <v>25</v>
      </c>
      <c r="E147" s="29">
        <v>79</v>
      </c>
    </row>
    <row r="148" spans="2:5" x14ac:dyDescent="0.3">
      <c r="B148" s="26" t="s">
        <v>334</v>
      </c>
      <c r="C148" s="27" t="s">
        <v>335</v>
      </c>
      <c r="D148" s="28">
        <v>25</v>
      </c>
      <c r="E148" s="29">
        <v>79</v>
      </c>
    </row>
    <row r="149" spans="2:5" x14ac:dyDescent="0.3">
      <c r="B149" s="26" t="s">
        <v>336</v>
      </c>
      <c r="C149" s="27" t="s">
        <v>337</v>
      </c>
      <c r="D149" s="28">
        <v>25</v>
      </c>
      <c r="E149" s="29">
        <v>12</v>
      </c>
    </row>
    <row r="150" spans="2:5" x14ac:dyDescent="0.3">
      <c r="B150" s="26" t="s">
        <v>338</v>
      </c>
      <c r="C150" s="27" t="s">
        <v>339</v>
      </c>
      <c r="D150" s="28">
        <v>25</v>
      </c>
      <c r="E150" s="29">
        <v>12</v>
      </c>
    </row>
    <row r="151" spans="2:5" x14ac:dyDescent="0.3">
      <c r="B151" s="26" t="s">
        <v>340</v>
      </c>
      <c r="C151" s="27" t="s">
        <v>341</v>
      </c>
      <c r="D151" s="28">
        <v>25</v>
      </c>
      <c r="E151" s="29">
        <v>12</v>
      </c>
    </row>
    <row r="152" spans="2:5" x14ac:dyDescent="0.3">
      <c r="B152" s="26" t="s">
        <v>342</v>
      </c>
      <c r="C152" s="27" t="s">
        <v>343</v>
      </c>
      <c r="D152" s="28">
        <v>25</v>
      </c>
      <c r="E152" s="29">
        <v>21</v>
      </c>
    </row>
    <row r="153" spans="2:5" x14ac:dyDescent="0.3">
      <c r="B153" s="26" t="s">
        <v>344</v>
      </c>
      <c r="C153" s="27" t="s">
        <v>345</v>
      </c>
      <c r="D153" s="28">
        <v>25</v>
      </c>
      <c r="E153" s="29">
        <v>2</v>
      </c>
    </row>
    <row r="154" spans="2:5" x14ac:dyDescent="0.3">
      <c r="B154" s="26" t="s">
        <v>346</v>
      </c>
      <c r="C154" s="27" t="s">
        <v>347</v>
      </c>
      <c r="D154" s="28">
        <v>25</v>
      </c>
      <c r="E154" s="29">
        <v>7</v>
      </c>
    </row>
    <row r="155" spans="2:5" x14ac:dyDescent="0.3">
      <c r="B155" s="26" t="s">
        <v>348</v>
      </c>
      <c r="C155" s="27" t="s">
        <v>349</v>
      </c>
      <c r="D155" s="28">
        <v>25</v>
      </c>
      <c r="E155" s="29">
        <v>7</v>
      </c>
    </row>
    <row r="156" spans="2:5" x14ac:dyDescent="0.3">
      <c r="B156" s="26" t="s">
        <v>350</v>
      </c>
      <c r="C156" s="27" t="s">
        <v>351</v>
      </c>
      <c r="D156" s="28">
        <v>25</v>
      </c>
      <c r="E156" s="29">
        <v>7</v>
      </c>
    </row>
    <row r="157" spans="2:5" x14ac:dyDescent="0.3">
      <c r="B157" s="35" t="s">
        <v>352</v>
      </c>
      <c r="C157" s="36" t="s">
        <v>353</v>
      </c>
      <c r="D157" s="37">
        <v>45</v>
      </c>
      <c r="E157" s="29">
        <v>29</v>
      </c>
    </row>
    <row r="158" spans="2:5" x14ac:dyDescent="0.3">
      <c r="B158" s="35" t="s">
        <v>354</v>
      </c>
      <c r="C158" s="36" t="s">
        <v>355</v>
      </c>
      <c r="D158" s="37">
        <v>45</v>
      </c>
      <c r="E158" s="29">
        <v>3</v>
      </c>
    </row>
    <row r="159" spans="2:5" x14ac:dyDescent="0.3">
      <c r="B159" s="26" t="s">
        <v>356</v>
      </c>
      <c r="C159" s="27" t="s">
        <v>357</v>
      </c>
      <c r="D159" s="28">
        <v>25</v>
      </c>
      <c r="E159" s="29">
        <v>7</v>
      </c>
    </row>
    <row r="160" spans="2:5" x14ac:dyDescent="0.3">
      <c r="B160" s="26" t="s">
        <v>358</v>
      </c>
      <c r="C160" s="27" t="s">
        <v>359</v>
      </c>
      <c r="D160" s="28">
        <v>25</v>
      </c>
      <c r="E160" s="29">
        <v>8</v>
      </c>
    </row>
    <row r="161" spans="2:5" x14ac:dyDescent="0.3">
      <c r="B161" s="26" t="s">
        <v>360</v>
      </c>
      <c r="C161" s="27" t="s">
        <v>361</v>
      </c>
      <c r="D161" s="28">
        <v>25</v>
      </c>
      <c r="E161" s="29">
        <v>5</v>
      </c>
    </row>
    <row r="162" spans="2:5" x14ac:dyDescent="0.3">
      <c r="B162" s="26" t="s">
        <v>362</v>
      </c>
      <c r="C162" s="27" t="s">
        <v>363</v>
      </c>
      <c r="D162" s="28">
        <v>25</v>
      </c>
      <c r="E162" s="29">
        <v>5</v>
      </c>
    </row>
    <row r="163" spans="2:5" x14ac:dyDescent="0.3">
      <c r="B163" s="26" t="s">
        <v>364</v>
      </c>
      <c r="C163" s="27" t="s">
        <v>365</v>
      </c>
      <c r="D163" s="28">
        <v>25</v>
      </c>
      <c r="E163" s="29">
        <v>9</v>
      </c>
    </row>
    <row r="164" spans="2:5" x14ac:dyDescent="0.3">
      <c r="B164" s="26" t="s">
        <v>366</v>
      </c>
      <c r="C164" s="27" t="s">
        <v>367</v>
      </c>
      <c r="D164" s="28">
        <v>25</v>
      </c>
      <c r="E164" s="29">
        <v>13</v>
      </c>
    </row>
    <row r="165" spans="2:5" x14ac:dyDescent="0.3">
      <c r="B165" s="26" t="s">
        <v>368</v>
      </c>
      <c r="C165" s="27" t="s">
        <v>369</v>
      </c>
      <c r="D165" s="28">
        <v>25</v>
      </c>
      <c r="E165" s="29">
        <v>13</v>
      </c>
    </row>
    <row r="166" spans="2:5" x14ac:dyDescent="0.3">
      <c r="B166" s="35" t="s">
        <v>370</v>
      </c>
      <c r="C166" s="36" t="s">
        <v>371</v>
      </c>
      <c r="D166" s="37">
        <v>45</v>
      </c>
      <c r="E166" s="29">
        <v>2</v>
      </c>
    </row>
    <row r="167" spans="2:5" x14ac:dyDescent="0.3">
      <c r="B167" s="35" t="s">
        <v>372</v>
      </c>
      <c r="C167" s="36" t="s">
        <v>373</v>
      </c>
      <c r="D167" s="37">
        <v>45</v>
      </c>
      <c r="E167" s="29">
        <v>3</v>
      </c>
    </row>
    <row r="168" spans="2:5" x14ac:dyDescent="0.3">
      <c r="B168" s="35" t="s">
        <v>374</v>
      </c>
      <c r="C168" s="36" t="s">
        <v>375</v>
      </c>
      <c r="D168" s="37">
        <v>45</v>
      </c>
      <c r="E168" s="29">
        <v>8</v>
      </c>
    </row>
    <row r="169" spans="2:5" x14ac:dyDescent="0.3">
      <c r="B169" s="35" t="s">
        <v>376</v>
      </c>
      <c r="C169" s="36" t="s">
        <v>377</v>
      </c>
      <c r="D169" s="37">
        <v>45</v>
      </c>
      <c r="E169" s="29">
        <v>3</v>
      </c>
    </row>
    <row r="170" spans="2:5" x14ac:dyDescent="0.3">
      <c r="B170" s="35" t="s">
        <v>378</v>
      </c>
      <c r="C170" s="36" t="s">
        <v>379</v>
      </c>
      <c r="D170" s="37">
        <v>45</v>
      </c>
      <c r="E170" s="29">
        <v>7</v>
      </c>
    </row>
    <row r="171" spans="2:5" x14ac:dyDescent="0.3">
      <c r="B171" s="35" t="s">
        <v>380</v>
      </c>
      <c r="C171" s="36" t="s">
        <v>381</v>
      </c>
      <c r="D171" s="37">
        <v>45</v>
      </c>
      <c r="E171" s="29">
        <v>4</v>
      </c>
    </row>
    <row r="172" spans="2:5" x14ac:dyDescent="0.3">
      <c r="B172" s="35" t="s">
        <v>382</v>
      </c>
      <c r="C172" s="36" t="s">
        <v>383</v>
      </c>
      <c r="D172" s="37">
        <v>45</v>
      </c>
      <c r="E172" s="29">
        <v>10</v>
      </c>
    </row>
    <row r="173" spans="2:5" x14ac:dyDescent="0.3">
      <c r="B173" s="26" t="s">
        <v>384</v>
      </c>
      <c r="C173" s="27" t="s">
        <v>385</v>
      </c>
      <c r="D173" s="28">
        <v>25</v>
      </c>
      <c r="E173" s="29">
        <v>5</v>
      </c>
    </row>
    <row r="174" spans="2:5" x14ac:dyDescent="0.3">
      <c r="B174" s="26" t="s">
        <v>386</v>
      </c>
      <c r="C174" s="27" t="s">
        <v>387</v>
      </c>
      <c r="D174" s="28">
        <v>25</v>
      </c>
      <c r="E174" s="29">
        <v>17</v>
      </c>
    </row>
    <row r="175" spans="2:5" x14ac:dyDescent="0.3">
      <c r="B175" s="35" t="s">
        <v>388</v>
      </c>
      <c r="C175" s="36" t="s">
        <v>389</v>
      </c>
      <c r="D175" s="37">
        <v>45</v>
      </c>
      <c r="E175" s="29">
        <v>14</v>
      </c>
    </row>
    <row r="176" spans="2:5" x14ac:dyDescent="0.3">
      <c r="B176" s="26" t="s">
        <v>390</v>
      </c>
      <c r="C176" s="27" t="s">
        <v>391</v>
      </c>
      <c r="D176" s="28">
        <v>25</v>
      </c>
      <c r="E176" s="29">
        <v>28</v>
      </c>
    </row>
    <row r="177" spans="2:5" x14ac:dyDescent="0.3">
      <c r="B177" s="26" t="s">
        <v>392</v>
      </c>
      <c r="C177" s="27" t="s">
        <v>393</v>
      </c>
      <c r="D177" s="28">
        <v>25</v>
      </c>
      <c r="E177" s="29">
        <v>18</v>
      </c>
    </row>
    <row r="178" spans="2:5" x14ac:dyDescent="0.3">
      <c r="B178" s="26" t="s">
        <v>394</v>
      </c>
      <c r="C178" s="27" t="s">
        <v>395</v>
      </c>
      <c r="D178" s="28">
        <v>25</v>
      </c>
      <c r="E178" s="29">
        <v>14</v>
      </c>
    </row>
    <row r="179" spans="2:5" x14ac:dyDescent="0.3">
      <c r="B179" s="26" t="s">
        <v>396</v>
      </c>
      <c r="C179" s="27" t="s">
        <v>397</v>
      </c>
      <c r="D179" s="28">
        <v>25</v>
      </c>
      <c r="E179" s="29">
        <v>16</v>
      </c>
    </row>
    <row r="180" spans="2:5" x14ac:dyDescent="0.3">
      <c r="B180" s="35" t="s">
        <v>398</v>
      </c>
      <c r="C180" s="36" t="s">
        <v>399</v>
      </c>
      <c r="D180" s="37">
        <v>45</v>
      </c>
      <c r="E180" s="29">
        <v>15</v>
      </c>
    </row>
    <row r="181" spans="2:5" x14ac:dyDescent="0.3">
      <c r="B181" s="35" t="s">
        <v>400</v>
      </c>
      <c r="C181" s="36" t="s">
        <v>401</v>
      </c>
      <c r="D181" s="37">
        <v>45</v>
      </c>
      <c r="E181" s="29">
        <v>14</v>
      </c>
    </row>
    <row r="182" spans="2:5" x14ac:dyDescent="0.3">
      <c r="B182" s="26" t="s">
        <v>402</v>
      </c>
      <c r="C182" s="27" t="s">
        <v>403</v>
      </c>
      <c r="D182" s="28">
        <v>25</v>
      </c>
      <c r="E182" s="29">
        <v>50</v>
      </c>
    </row>
    <row r="183" spans="2:5" x14ac:dyDescent="0.3">
      <c r="B183" s="26" t="s">
        <v>404</v>
      </c>
      <c r="C183" s="27" t="s">
        <v>405</v>
      </c>
      <c r="D183" s="28">
        <v>25</v>
      </c>
      <c r="E183" s="29">
        <v>50</v>
      </c>
    </row>
    <row r="184" spans="2:5" x14ac:dyDescent="0.3">
      <c r="B184" s="26" t="s">
        <v>406</v>
      </c>
      <c r="C184" s="27" t="s">
        <v>407</v>
      </c>
      <c r="D184" s="28">
        <v>25</v>
      </c>
      <c r="E184" s="29">
        <v>50</v>
      </c>
    </row>
    <row r="185" spans="2:5" x14ac:dyDescent="0.3">
      <c r="B185" s="26" t="s">
        <v>408</v>
      </c>
      <c r="C185" s="27" t="s">
        <v>409</v>
      </c>
      <c r="D185" s="28">
        <v>25</v>
      </c>
      <c r="E185" s="29">
        <v>9</v>
      </c>
    </row>
    <row r="186" spans="2:5" x14ac:dyDescent="0.3">
      <c r="B186" s="26" t="s">
        <v>410</v>
      </c>
      <c r="C186" s="27" t="s">
        <v>411</v>
      </c>
      <c r="D186" s="28">
        <v>25</v>
      </c>
      <c r="E186" s="29">
        <v>4</v>
      </c>
    </row>
    <row r="187" spans="2:5" x14ac:dyDescent="0.3">
      <c r="B187" s="26" t="s">
        <v>412</v>
      </c>
      <c r="C187" s="27" t="s">
        <v>413</v>
      </c>
      <c r="D187" s="28">
        <v>25</v>
      </c>
      <c r="E187" s="29">
        <v>16</v>
      </c>
    </row>
    <row r="188" spans="2:5" x14ac:dyDescent="0.3">
      <c r="B188" s="26" t="s">
        <v>414</v>
      </c>
      <c r="C188" s="27" t="s">
        <v>415</v>
      </c>
      <c r="D188" s="28">
        <v>25</v>
      </c>
      <c r="E188" s="29">
        <v>16</v>
      </c>
    </row>
    <row r="189" spans="2:5" x14ac:dyDescent="0.3">
      <c r="B189" s="35" t="s">
        <v>416</v>
      </c>
      <c r="C189" s="36" t="s">
        <v>417</v>
      </c>
      <c r="D189" s="37">
        <v>45</v>
      </c>
      <c r="E189" s="29">
        <v>16</v>
      </c>
    </row>
    <row r="190" spans="2:5" x14ac:dyDescent="0.3">
      <c r="B190" s="35" t="s">
        <v>418</v>
      </c>
      <c r="C190" s="36" t="s">
        <v>419</v>
      </c>
      <c r="D190" s="37">
        <v>45</v>
      </c>
      <c r="E190" s="29">
        <v>18</v>
      </c>
    </row>
    <row r="191" spans="2:5" x14ac:dyDescent="0.3">
      <c r="B191" s="35" t="s">
        <v>420</v>
      </c>
      <c r="C191" s="36" t="s">
        <v>421</v>
      </c>
      <c r="D191" s="37">
        <v>45</v>
      </c>
      <c r="E191" s="29">
        <v>18</v>
      </c>
    </row>
    <row r="192" spans="2:5" x14ac:dyDescent="0.3">
      <c r="B192" s="35" t="s">
        <v>422</v>
      </c>
      <c r="C192" s="36" t="s">
        <v>423</v>
      </c>
      <c r="D192" s="37">
        <v>45</v>
      </c>
      <c r="E192" s="29">
        <v>18</v>
      </c>
    </row>
    <row r="193" spans="2:5" x14ac:dyDescent="0.3">
      <c r="B193" s="26" t="s">
        <v>424</v>
      </c>
      <c r="C193" s="27" t="s">
        <v>425</v>
      </c>
      <c r="D193" s="28">
        <v>25</v>
      </c>
      <c r="E193" s="29">
        <v>18</v>
      </c>
    </row>
    <row r="194" spans="2:5" x14ac:dyDescent="0.3">
      <c r="B194" s="35" t="s">
        <v>426</v>
      </c>
      <c r="C194" s="36" t="s">
        <v>427</v>
      </c>
      <c r="D194" s="37">
        <v>45</v>
      </c>
      <c r="E194" s="29">
        <v>28</v>
      </c>
    </row>
    <row r="195" spans="2:5" x14ac:dyDescent="0.3">
      <c r="B195" s="33" t="s">
        <v>428</v>
      </c>
      <c r="C195" s="34" t="s">
        <v>429</v>
      </c>
      <c r="D195" s="32">
        <v>55</v>
      </c>
      <c r="E195" s="29">
        <v>17</v>
      </c>
    </row>
    <row r="196" spans="2:5" x14ac:dyDescent="0.3">
      <c r="B196" s="33" t="s">
        <v>430</v>
      </c>
      <c r="C196" s="34" t="s">
        <v>431</v>
      </c>
      <c r="D196" s="32">
        <v>55</v>
      </c>
      <c r="E196" s="29">
        <v>50</v>
      </c>
    </row>
    <row r="197" spans="2:5" x14ac:dyDescent="0.3">
      <c r="B197" s="35" t="s">
        <v>432</v>
      </c>
      <c r="C197" s="36" t="s">
        <v>433</v>
      </c>
      <c r="D197" s="37">
        <v>45</v>
      </c>
      <c r="E197" s="29">
        <v>41</v>
      </c>
    </row>
    <row r="198" spans="2:5" x14ac:dyDescent="0.3">
      <c r="B198" s="35" t="s">
        <v>434</v>
      </c>
      <c r="C198" s="36" t="s">
        <v>435</v>
      </c>
      <c r="D198" s="37">
        <v>45</v>
      </c>
      <c r="E198" s="29">
        <v>19</v>
      </c>
    </row>
    <row r="199" spans="2:5" x14ac:dyDescent="0.3">
      <c r="B199" s="35" t="s">
        <v>436</v>
      </c>
      <c r="C199" s="36" t="s">
        <v>437</v>
      </c>
      <c r="D199" s="37">
        <v>45</v>
      </c>
      <c r="E199" s="29">
        <v>32</v>
      </c>
    </row>
    <row r="200" spans="2:5" x14ac:dyDescent="0.3">
      <c r="B200" s="35" t="s">
        <v>438</v>
      </c>
      <c r="C200" s="36" t="s">
        <v>439</v>
      </c>
      <c r="D200" s="37">
        <v>45</v>
      </c>
      <c r="E200" s="29">
        <v>27</v>
      </c>
    </row>
    <row r="201" spans="2:5" x14ac:dyDescent="0.3">
      <c r="B201" s="35" t="s">
        <v>440</v>
      </c>
      <c r="C201" s="36" t="s">
        <v>441</v>
      </c>
      <c r="D201" s="37">
        <v>45</v>
      </c>
      <c r="E201" s="29">
        <v>42</v>
      </c>
    </row>
    <row r="202" spans="2:5" x14ac:dyDescent="0.3">
      <c r="B202" s="35" t="s">
        <v>442</v>
      </c>
      <c r="C202" s="36" t="s">
        <v>443</v>
      </c>
      <c r="D202" s="37">
        <v>45</v>
      </c>
      <c r="E202" s="29">
        <v>42</v>
      </c>
    </row>
    <row r="203" spans="2:5" x14ac:dyDescent="0.3">
      <c r="B203" s="35" t="s">
        <v>444</v>
      </c>
      <c r="C203" s="36" t="s">
        <v>445</v>
      </c>
      <c r="D203" s="37">
        <v>45</v>
      </c>
      <c r="E203" s="29">
        <v>42</v>
      </c>
    </row>
    <row r="204" spans="2:5" x14ac:dyDescent="0.3">
      <c r="B204" s="35" t="s">
        <v>446</v>
      </c>
      <c r="C204" s="36" t="s">
        <v>447</v>
      </c>
      <c r="D204" s="37">
        <v>45</v>
      </c>
      <c r="E204" s="29">
        <v>42</v>
      </c>
    </row>
    <row r="205" spans="2:5" x14ac:dyDescent="0.3">
      <c r="B205" s="26" t="s">
        <v>448</v>
      </c>
      <c r="C205" s="27" t="s">
        <v>449</v>
      </c>
      <c r="D205" s="28">
        <v>25</v>
      </c>
      <c r="E205" s="29">
        <v>31</v>
      </c>
    </row>
    <row r="206" spans="2:5" x14ac:dyDescent="0.3">
      <c r="B206" s="26" t="s">
        <v>450</v>
      </c>
      <c r="C206" s="27" t="s">
        <v>451</v>
      </c>
      <c r="D206" s="28">
        <v>25</v>
      </c>
      <c r="E206" s="29">
        <v>22</v>
      </c>
    </row>
    <row r="207" spans="2:5" x14ac:dyDescent="0.3">
      <c r="B207" s="26" t="s">
        <v>452</v>
      </c>
      <c r="C207" s="27" t="s">
        <v>453</v>
      </c>
      <c r="D207" s="28">
        <v>25</v>
      </c>
      <c r="E207" s="29">
        <v>37</v>
      </c>
    </row>
    <row r="208" spans="2:5" x14ac:dyDescent="0.3">
      <c r="B208" s="26" t="s">
        <v>454</v>
      </c>
      <c r="C208" s="27" t="s">
        <v>455</v>
      </c>
      <c r="D208" s="28">
        <v>25</v>
      </c>
      <c r="E208" s="29">
        <v>15</v>
      </c>
    </row>
    <row r="209" spans="2:5" x14ac:dyDescent="0.3">
      <c r="B209" s="38" t="s">
        <v>456</v>
      </c>
      <c r="C209" s="39" t="s">
        <v>457</v>
      </c>
      <c r="D209" s="40">
        <v>50</v>
      </c>
      <c r="E209" s="29">
        <v>37</v>
      </c>
    </row>
    <row r="210" spans="2:5" x14ac:dyDescent="0.3">
      <c r="B210" s="26" t="s">
        <v>458</v>
      </c>
      <c r="C210" s="27" t="s">
        <v>459</v>
      </c>
      <c r="D210" s="28">
        <v>25</v>
      </c>
      <c r="E210" s="29">
        <v>37</v>
      </c>
    </row>
    <row r="211" spans="2:5" x14ac:dyDescent="0.3">
      <c r="B211" s="26" t="s">
        <v>460</v>
      </c>
      <c r="C211" s="27" t="s">
        <v>461</v>
      </c>
      <c r="D211" s="28">
        <v>25</v>
      </c>
      <c r="E211" s="29">
        <v>37</v>
      </c>
    </row>
    <row r="212" spans="2:5" x14ac:dyDescent="0.3">
      <c r="B212" s="26" t="s">
        <v>462</v>
      </c>
      <c r="C212" s="27" t="s">
        <v>463</v>
      </c>
      <c r="D212" s="28">
        <v>25</v>
      </c>
      <c r="E212" s="29">
        <v>37</v>
      </c>
    </row>
    <row r="213" spans="2:5" x14ac:dyDescent="0.3">
      <c r="B213" s="26" t="s">
        <v>464</v>
      </c>
      <c r="C213" s="27" t="s">
        <v>465</v>
      </c>
      <c r="D213" s="28">
        <v>25</v>
      </c>
      <c r="E213" s="29">
        <v>37</v>
      </c>
    </row>
    <row r="214" spans="2:5" x14ac:dyDescent="0.3">
      <c r="B214" s="26" t="s">
        <v>466</v>
      </c>
      <c r="C214" s="27" t="s">
        <v>467</v>
      </c>
      <c r="D214" s="28">
        <v>25</v>
      </c>
      <c r="E214" s="29">
        <v>37</v>
      </c>
    </row>
    <row r="215" spans="2:5" x14ac:dyDescent="0.3">
      <c r="B215" s="26" t="s">
        <v>468</v>
      </c>
      <c r="C215" s="27" t="s">
        <v>469</v>
      </c>
      <c r="D215" s="28">
        <v>25</v>
      </c>
      <c r="E215" s="29">
        <v>25</v>
      </c>
    </row>
    <row r="216" spans="2:5" x14ac:dyDescent="0.3">
      <c r="B216" s="26" t="s">
        <v>470</v>
      </c>
      <c r="C216" s="27" t="s">
        <v>471</v>
      </c>
      <c r="D216" s="28">
        <v>25</v>
      </c>
      <c r="E216" s="29">
        <v>65</v>
      </c>
    </row>
    <row r="217" spans="2:5" x14ac:dyDescent="0.3">
      <c r="B217" s="26" t="s">
        <v>472</v>
      </c>
      <c r="C217" s="27" t="s">
        <v>473</v>
      </c>
      <c r="D217" s="28">
        <v>25</v>
      </c>
      <c r="E217" s="29">
        <v>65</v>
      </c>
    </row>
    <row r="218" spans="2:5" x14ac:dyDescent="0.3">
      <c r="B218" s="26" t="s">
        <v>474</v>
      </c>
      <c r="C218" s="27" t="s">
        <v>475</v>
      </c>
      <c r="D218" s="28">
        <v>25</v>
      </c>
      <c r="E218" s="29">
        <v>64</v>
      </c>
    </row>
    <row r="219" spans="2:5" x14ac:dyDescent="0.3">
      <c r="B219" s="26" t="s">
        <v>476</v>
      </c>
      <c r="C219" s="27" t="s">
        <v>477</v>
      </c>
      <c r="D219" s="28">
        <v>25</v>
      </c>
      <c r="E219" s="29">
        <v>64</v>
      </c>
    </row>
    <row r="220" spans="2:5" x14ac:dyDescent="0.3">
      <c r="B220" s="26" t="s">
        <v>478</v>
      </c>
      <c r="C220" s="27" t="s">
        <v>479</v>
      </c>
      <c r="D220" s="28">
        <v>25</v>
      </c>
      <c r="E220" s="29">
        <v>37</v>
      </c>
    </row>
    <row r="221" spans="2:5" x14ac:dyDescent="0.3">
      <c r="B221" s="26" t="s">
        <v>480</v>
      </c>
      <c r="C221" s="27" t="s">
        <v>481</v>
      </c>
      <c r="D221" s="28">
        <v>25</v>
      </c>
      <c r="E221" s="29">
        <v>37</v>
      </c>
    </row>
    <row r="222" spans="2:5" x14ac:dyDescent="0.3">
      <c r="B222" s="26" t="s">
        <v>482</v>
      </c>
      <c r="C222" s="27" t="s">
        <v>483</v>
      </c>
      <c r="D222" s="28">
        <v>25</v>
      </c>
      <c r="E222" s="29">
        <v>37</v>
      </c>
    </row>
    <row r="223" spans="2:5" x14ac:dyDescent="0.3">
      <c r="B223" s="26" t="s">
        <v>484</v>
      </c>
      <c r="C223" s="27" t="s">
        <v>485</v>
      </c>
      <c r="D223" s="28">
        <v>25</v>
      </c>
      <c r="E223" s="29">
        <v>24</v>
      </c>
    </row>
    <row r="224" spans="2:5" x14ac:dyDescent="0.3">
      <c r="B224" s="26" t="s">
        <v>486</v>
      </c>
      <c r="C224" s="27" t="s">
        <v>487</v>
      </c>
      <c r="D224" s="28">
        <v>25</v>
      </c>
      <c r="E224" s="29">
        <v>23</v>
      </c>
    </row>
    <row r="225" spans="2:5" x14ac:dyDescent="0.3">
      <c r="B225" s="26" t="s">
        <v>488</v>
      </c>
      <c r="C225" s="27" t="s">
        <v>489</v>
      </c>
      <c r="D225" s="28">
        <v>25</v>
      </c>
      <c r="E225" s="29">
        <v>23</v>
      </c>
    </row>
    <row r="226" spans="2:5" x14ac:dyDescent="0.3">
      <c r="B226" s="26" t="s">
        <v>490</v>
      </c>
      <c r="C226" s="27" t="s">
        <v>491</v>
      </c>
      <c r="D226" s="28">
        <v>25</v>
      </c>
      <c r="E226" s="29">
        <v>23</v>
      </c>
    </row>
    <row r="227" spans="2:5" x14ac:dyDescent="0.3">
      <c r="B227" s="26" t="s">
        <v>492</v>
      </c>
      <c r="C227" s="27" t="s">
        <v>493</v>
      </c>
      <c r="D227" s="28">
        <v>25</v>
      </c>
      <c r="E227" s="29">
        <v>19</v>
      </c>
    </row>
    <row r="228" spans="2:5" x14ac:dyDescent="0.3">
      <c r="B228" s="26" t="s">
        <v>494</v>
      </c>
      <c r="C228" s="27" t="s">
        <v>495</v>
      </c>
      <c r="D228" s="28">
        <v>25</v>
      </c>
      <c r="E228" s="29">
        <v>7</v>
      </c>
    </row>
    <row r="229" spans="2:5" x14ac:dyDescent="0.3">
      <c r="B229" s="26" t="s">
        <v>496</v>
      </c>
      <c r="C229" s="27" t="s">
        <v>497</v>
      </c>
      <c r="D229" s="28">
        <v>25</v>
      </c>
      <c r="E229" s="29">
        <v>7</v>
      </c>
    </row>
    <row r="230" spans="2:5" x14ac:dyDescent="0.3">
      <c r="B230" s="26" t="s">
        <v>498</v>
      </c>
      <c r="C230" s="27" t="s">
        <v>499</v>
      </c>
      <c r="D230" s="28">
        <v>25</v>
      </c>
      <c r="E230" s="29">
        <v>8</v>
      </c>
    </row>
    <row r="231" spans="2:5" x14ac:dyDescent="0.3">
      <c r="B231" s="26" t="s">
        <v>500</v>
      </c>
      <c r="C231" s="27" t="s">
        <v>501</v>
      </c>
      <c r="D231" s="28">
        <v>25</v>
      </c>
      <c r="E231" s="29">
        <v>8</v>
      </c>
    </row>
    <row r="232" spans="2:5" x14ac:dyDescent="0.3">
      <c r="B232" s="26" t="s">
        <v>502</v>
      </c>
      <c r="C232" s="27" t="s">
        <v>503</v>
      </c>
      <c r="D232" s="28">
        <v>25</v>
      </c>
      <c r="E232" s="29">
        <v>9</v>
      </c>
    </row>
    <row r="233" spans="2:5" x14ac:dyDescent="0.3">
      <c r="B233" s="26" t="s">
        <v>504</v>
      </c>
      <c r="C233" s="27" t="s">
        <v>505</v>
      </c>
      <c r="D233" s="28">
        <v>25</v>
      </c>
      <c r="E233" s="29">
        <v>9</v>
      </c>
    </row>
    <row r="234" spans="2:5" x14ac:dyDescent="0.3">
      <c r="B234" s="26" t="s">
        <v>506</v>
      </c>
      <c r="C234" s="27" t="s">
        <v>507</v>
      </c>
      <c r="D234" s="28">
        <v>25</v>
      </c>
      <c r="E234" s="29">
        <v>13</v>
      </c>
    </row>
    <row r="235" spans="2:5" x14ac:dyDescent="0.3">
      <c r="B235" s="26" t="s">
        <v>508</v>
      </c>
      <c r="C235" s="27" t="s">
        <v>509</v>
      </c>
      <c r="D235" s="28">
        <v>25</v>
      </c>
      <c r="E235" s="29">
        <v>13</v>
      </c>
    </row>
    <row r="236" spans="2:5" x14ac:dyDescent="0.3">
      <c r="B236" s="26" t="s">
        <v>510</v>
      </c>
      <c r="C236" s="27" t="s">
        <v>511</v>
      </c>
      <c r="D236" s="28">
        <v>25</v>
      </c>
      <c r="E236" s="29">
        <v>15</v>
      </c>
    </row>
    <row r="237" spans="2:5" x14ac:dyDescent="0.3">
      <c r="B237" s="26" t="s">
        <v>512</v>
      </c>
      <c r="C237" s="27" t="s">
        <v>513</v>
      </c>
      <c r="D237" s="28">
        <v>25</v>
      </c>
      <c r="E237" s="29">
        <v>12</v>
      </c>
    </row>
    <row r="238" spans="2:5" x14ac:dyDescent="0.3">
      <c r="B238" s="26" t="s">
        <v>514</v>
      </c>
      <c r="C238" s="27" t="s">
        <v>515</v>
      </c>
      <c r="D238" s="28">
        <v>25</v>
      </c>
      <c r="E238" s="29">
        <v>6</v>
      </c>
    </row>
    <row r="239" spans="2:5" x14ac:dyDescent="0.3">
      <c r="B239" s="26" t="s">
        <v>516</v>
      </c>
      <c r="C239" s="27" t="s">
        <v>517</v>
      </c>
      <c r="D239" s="28">
        <v>25</v>
      </c>
      <c r="E239" s="29">
        <v>6</v>
      </c>
    </row>
    <row r="240" spans="2:5" x14ac:dyDescent="0.3">
      <c r="B240" s="26" t="s">
        <v>518</v>
      </c>
      <c r="C240" s="27" t="s">
        <v>519</v>
      </c>
      <c r="D240" s="28">
        <v>25</v>
      </c>
      <c r="E240" s="29">
        <v>8</v>
      </c>
    </row>
    <row r="241" spans="2:5" x14ac:dyDescent="0.3">
      <c r="B241" s="26" t="s">
        <v>520</v>
      </c>
      <c r="C241" s="27" t="s">
        <v>521</v>
      </c>
      <c r="D241" s="28">
        <v>25</v>
      </c>
      <c r="E241" s="29">
        <v>5</v>
      </c>
    </row>
    <row r="242" spans="2:5" x14ac:dyDescent="0.3">
      <c r="B242" s="26" t="s">
        <v>522</v>
      </c>
      <c r="C242" s="27" t="s">
        <v>523</v>
      </c>
      <c r="D242" s="28">
        <v>25</v>
      </c>
      <c r="E242" s="29">
        <v>8</v>
      </c>
    </row>
    <row r="243" spans="2:5" x14ac:dyDescent="0.3">
      <c r="B243" s="26" t="s">
        <v>524</v>
      </c>
      <c r="C243" s="27" t="s">
        <v>525</v>
      </c>
      <c r="D243" s="28">
        <v>25</v>
      </c>
      <c r="E243" s="29">
        <v>8</v>
      </c>
    </row>
    <row r="244" spans="2:5" x14ac:dyDescent="0.3">
      <c r="B244" s="26" t="s">
        <v>526</v>
      </c>
      <c r="C244" s="27" t="s">
        <v>527</v>
      </c>
      <c r="D244" s="28">
        <v>25</v>
      </c>
      <c r="E244" s="29">
        <v>8</v>
      </c>
    </row>
    <row r="245" spans="2:5" x14ac:dyDescent="0.3">
      <c r="B245" s="26" t="s">
        <v>528</v>
      </c>
      <c r="C245" s="27" t="s">
        <v>529</v>
      </c>
      <c r="D245" s="28">
        <v>25</v>
      </c>
      <c r="E245" s="29">
        <v>8</v>
      </c>
    </row>
    <row r="246" spans="2:5" x14ac:dyDescent="0.3">
      <c r="B246" s="26" t="s">
        <v>530</v>
      </c>
      <c r="C246" s="27" t="s">
        <v>531</v>
      </c>
      <c r="D246" s="28">
        <v>25</v>
      </c>
      <c r="E246" s="29">
        <v>49</v>
      </c>
    </row>
    <row r="247" spans="2:5" x14ac:dyDescent="0.3">
      <c r="B247" s="26" t="s">
        <v>532</v>
      </c>
      <c r="C247" s="27" t="s">
        <v>533</v>
      </c>
      <c r="D247" s="28">
        <v>25</v>
      </c>
      <c r="E247" s="29">
        <v>42</v>
      </c>
    </row>
    <row r="248" spans="2:5" x14ac:dyDescent="0.3">
      <c r="B248" s="38" t="s">
        <v>534</v>
      </c>
      <c r="C248" s="39" t="s">
        <v>535</v>
      </c>
      <c r="D248" s="40">
        <v>50</v>
      </c>
      <c r="E248" s="29">
        <v>47</v>
      </c>
    </row>
    <row r="249" spans="2:5" x14ac:dyDescent="0.3">
      <c r="B249" s="26" t="s">
        <v>536</v>
      </c>
      <c r="C249" s="27" t="s">
        <v>537</v>
      </c>
      <c r="D249" s="28">
        <v>25</v>
      </c>
      <c r="E249" s="29">
        <v>74</v>
      </c>
    </row>
    <row r="250" spans="2:5" x14ac:dyDescent="0.3">
      <c r="B250" s="38" t="s">
        <v>538</v>
      </c>
      <c r="C250" s="39" t="s">
        <v>539</v>
      </c>
      <c r="D250" s="40">
        <v>50</v>
      </c>
      <c r="E250" s="29">
        <v>83</v>
      </c>
    </row>
    <row r="251" spans="2:5" x14ac:dyDescent="0.3">
      <c r="B251" s="38" t="s">
        <v>540</v>
      </c>
      <c r="C251" s="39" t="s">
        <v>541</v>
      </c>
      <c r="D251" s="40">
        <v>50</v>
      </c>
      <c r="E251" s="29">
        <v>60</v>
      </c>
    </row>
    <row r="252" spans="2:5" x14ac:dyDescent="0.3">
      <c r="B252" s="38" t="s">
        <v>542</v>
      </c>
      <c r="C252" s="39" t="s">
        <v>543</v>
      </c>
      <c r="D252" s="40">
        <v>50</v>
      </c>
      <c r="E252" s="29">
        <v>32</v>
      </c>
    </row>
    <row r="253" spans="2:5" x14ac:dyDescent="0.3">
      <c r="B253" s="26" t="s">
        <v>544</v>
      </c>
      <c r="C253" s="27" t="s">
        <v>545</v>
      </c>
      <c r="D253" s="28">
        <v>25</v>
      </c>
      <c r="E253" s="29">
        <v>35</v>
      </c>
    </row>
    <row r="254" spans="2:5" x14ac:dyDescent="0.3">
      <c r="B254" s="26" t="s">
        <v>546</v>
      </c>
      <c r="C254" s="27" t="s">
        <v>547</v>
      </c>
      <c r="D254" s="28">
        <v>25</v>
      </c>
      <c r="E254" s="29">
        <v>35</v>
      </c>
    </row>
    <row r="255" spans="2:5" x14ac:dyDescent="0.3">
      <c r="B255" s="26" t="s">
        <v>548</v>
      </c>
      <c r="C255" s="27" t="s">
        <v>549</v>
      </c>
      <c r="D255" s="28">
        <v>25</v>
      </c>
      <c r="E255" s="29">
        <v>31</v>
      </c>
    </row>
    <row r="256" spans="2:5" x14ac:dyDescent="0.3">
      <c r="B256" s="26" t="s">
        <v>550</v>
      </c>
      <c r="C256" s="27" t="s">
        <v>551</v>
      </c>
      <c r="D256" s="28">
        <v>25</v>
      </c>
      <c r="E256" s="29">
        <v>31</v>
      </c>
    </row>
    <row r="257" spans="2:5" x14ac:dyDescent="0.3">
      <c r="B257" s="26" t="s">
        <v>552</v>
      </c>
      <c r="C257" s="27" t="s">
        <v>553</v>
      </c>
      <c r="D257" s="28">
        <v>25</v>
      </c>
      <c r="E257" s="29">
        <v>51</v>
      </c>
    </row>
    <row r="258" spans="2:5" x14ac:dyDescent="0.3">
      <c r="B258" s="26" t="s">
        <v>554</v>
      </c>
      <c r="C258" s="27" t="s">
        <v>555</v>
      </c>
      <c r="D258" s="28">
        <v>25</v>
      </c>
      <c r="E258" s="29">
        <v>51</v>
      </c>
    </row>
    <row r="259" spans="2:5" x14ac:dyDescent="0.3">
      <c r="B259" s="26" t="s">
        <v>556</v>
      </c>
      <c r="C259" s="27" t="s">
        <v>557</v>
      </c>
      <c r="D259" s="28">
        <v>25</v>
      </c>
      <c r="E259" s="29">
        <v>26</v>
      </c>
    </row>
    <row r="260" spans="2:5" x14ac:dyDescent="0.3">
      <c r="B260" s="26" t="s">
        <v>558</v>
      </c>
      <c r="C260" s="27" t="s">
        <v>559</v>
      </c>
      <c r="D260" s="28">
        <v>25</v>
      </c>
      <c r="E260" s="29">
        <v>53</v>
      </c>
    </row>
    <row r="261" spans="2:5" x14ac:dyDescent="0.3">
      <c r="B261" s="26" t="s">
        <v>560</v>
      </c>
      <c r="C261" s="27" t="s">
        <v>561</v>
      </c>
      <c r="D261" s="28">
        <v>25</v>
      </c>
      <c r="E261" s="29">
        <v>37</v>
      </c>
    </row>
    <row r="262" spans="2:5" x14ac:dyDescent="0.3">
      <c r="B262" s="26" t="s">
        <v>562</v>
      </c>
      <c r="C262" s="27" t="s">
        <v>563</v>
      </c>
      <c r="D262" s="28">
        <v>25</v>
      </c>
      <c r="E262" s="29">
        <v>34</v>
      </c>
    </row>
    <row r="263" spans="2:5" x14ac:dyDescent="0.3">
      <c r="B263" s="26" t="s">
        <v>564</v>
      </c>
      <c r="C263" s="27" t="s">
        <v>565</v>
      </c>
      <c r="D263" s="28">
        <v>25</v>
      </c>
      <c r="E263" s="29">
        <v>34</v>
      </c>
    </row>
    <row r="264" spans="2:5" x14ac:dyDescent="0.3">
      <c r="B264" s="26" t="s">
        <v>566</v>
      </c>
      <c r="C264" s="27" t="s">
        <v>567</v>
      </c>
      <c r="D264" s="28">
        <v>25</v>
      </c>
      <c r="E264" s="29">
        <v>11</v>
      </c>
    </row>
    <row r="265" spans="2:5" x14ac:dyDescent="0.3">
      <c r="B265" s="26" t="s">
        <v>568</v>
      </c>
      <c r="C265" s="27" t="s">
        <v>569</v>
      </c>
      <c r="D265" s="28">
        <v>25</v>
      </c>
      <c r="E265" s="29">
        <v>29</v>
      </c>
    </row>
    <row r="266" spans="2:5" x14ac:dyDescent="0.3">
      <c r="B266" s="26" t="s">
        <v>570</v>
      </c>
      <c r="C266" s="27" t="s">
        <v>571</v>
      </c>
      <c r="D266" s="28">
        <v>25</v>
      </c>
      <c r="E266" s="29">
        <v>29</v>
      </c>
    </row>
    <row r="267" spans="2:5" x14ac:dyDescent="0.3">
      <c r="B267" s="26" t="s">
        <v>572</v>
      </c>
      <c r="C267" s="27" t="s">
        <v>573</v>
      </c>
      <c r="D267" s="28">
        <v>25</v>
      </c>
      <c r="E267" s="29">
        <v>73</v>
      </c>
    </row>
    <row r="268" spans="2:5" x14ac:dyDescent="0.3">
      <c r="B268" s="26" t="s">
        <v>574</v>
      </c>
      <c r="C268" s="27" t="s">
        <v>575</v>
      </c>
      <c r="D268" s="28">
        <v>25</v>
      </c>
      <c r="E268" s="29">
        <v>24</v>
      </c>
    </row>
    <row r="269" spans="2:5" x14ac:dyDescent="0.3">
      <c r="B269" s="26" t="s">
        <v>576</v>
      </c>
      <c r="C269" s="27" t="s">
        <v>577</v>
      </c>
      <c r="D269" s="28">
        <v>25</v>
      </c>
      <c r="E269" s="29">
        <v>24</v>
      </c>
    </row>
    <row r="270" spans="2:5" x14ac:dyDescent="0.3">
      <c r="B270" s="26" t="s">
        <v>578</v>
      </c>
      <c r="C270" s="27" t="s">
        <v>579</v>
      </c>
      <c r="D270" s="28">
        <v>25</v>
      </c>
      <c r="E270" s="29">
        <v>24</v>
      </c>
    </row>
    <row r="271" spans="2:5" x14ac:dyDescent="0.3">
      <c r="B271" s="35" t="s">
        <v>580</v>
      </c>
      <c r="C271" s="36" t="s">
        <v>581</v>
      </c>
      <c r="D271" s="37">
        <v>45</v>
      </c>
      <c r="E271" s="29">
        <v>19</v>
      </c>
    </row>
    <row r="272" spans="2:5" x14ac:dyDescent="0.3">
      <c r="B272" s="35" t="s">
        <v>582</v>
      </c>
      <c r="C272" s="36" t="s">
        <v>583</v>
      </c>
      <c r="D272" s="37">
        <v>45</v>
      </c>
      <c r="E272" s="29">
        <v>9</v>
      </c>
    </row>
    <row r="273" spans="2:5" x14ac:dyDescent="0.3">
      <c r="B273" s="35" t="s">
        <v>584</v>
      </c>
      <c r="C273" s="36" t="s">
        <v>585</v>
      </c>
      <c r="D273" s="37">
        <v>45</v>
      </c>
      <c r="E273" s="29">
        <v>16</v>
      </c>
    </row>
    <row r="274" spans="2:5" x14ac:dyDescent="0.3">
      <c r="B274" s="35" t="s">
        <v>586</v>
      </c>
      <c r="C274" s="36" t="s">
        <v>587</v>
      </c>
      <c r="D274" s="37">
        <v>45</v>
      </c>
      <c r="E274" s="29">
        <v>19</v>
      </c>
    </row>
    <row r="275" spans="2:5" x14ac:dyDescent="0.3">
      <c r="B275" s="26" t="s">
        <v>588</v>
      </c>
      <c r="C275" s="27" t="s">
        <v>589</v>
      </c>
      <c r="D275" s="28">
        <v>25</v>
      </c>
      <c r="E275" s="29">
        <v>5</v>
      </c>
    </row>
    <row r="276" spans="2:5" x14ac:dyDescent="0.3">
      <c r="B276" s="35" t="s">
        <v>590</v>
      </c>
      <c r="C276" s="36" t="s">
        <v>591</v>
      </c>
      <c r="D276" s="37">
        <v>45</v>
      </c>
      <c r="E276" s="29">
        <v>12</v>
      </c>
    </row>
    <row r="277" spans="2:5" x14ac:dyDescent="0.3">
      <c r="B277" s="35" t="s">
        <v>592</v>
      </c>
      <c r="C277" s="36" t="s">
        <v>593</v>
      </c>
      <c r="D277" s="37">
        <v>45</v>
      </c>
      <c r="E277" s="29">
        <v>33</v>
      </c>
    </row>
    <row r="278" spans="2:5" x14ac:dyDescent="0.3">
      <c r="B278" s="26" t="s">
        <v>594</v>
      </c>
      <c r="C278" s="27" t="s">
        <v>595</v>
      </c>
      <c r="D278" s="28">
        <v>25</v>
      </c>
      <c r="E278" s="29">
        <v>33</v>
      </c>
    </row>
    <row r="279" spans="2:5" x14ac:dyDescent="0.3">
      <c r="B279" s="35" t="s">
        <v>596</v>
      </c>
      <c r="C279" s="36" t="s">
        <v>597</v>
      </c>
      <c r="D279" s="37">
        <v>45</v>
      </c>
      <c r="E279" s="29">
        <v>51</v>
      </c>
    </row>
    <row r="280" spans="2:5" x14ac:dyDescent="0.3">
      <c r="B280" s="26" t="s">
        <v>598</v>
      </c>
      <c r="C280" s="27" t="s">
        <v>599</v>
      </c>
      <c r="D280" s="28">
        <v>25</v>
      </c>
      <c r="E280" s="29">
        <v>34</v>
      </c>
    </row>
    <row r="281" spans="2:5" x14ac:dyDescent="0.3">
      <c r="B281" s="35" t="s">
        <v>600</v>
      </c>
      <c r="C281" s="36" t="s">
        <v>601</v>
      </c>
      <c r="D281" s="37">
        <v>45</v>
      </c>
      <c r="E281" s="29">
        <v>34</v>
      </c>
    </row>
    <row r="282" spans="2:5" x14ac:dyDescent="0.3">
      <c r="B282" s="35" t="s">
        <v>602</v>
      </c>
      <c r="C282" s="36" t="s">
        <v>603</v>
      </c>
      <c r="D282" s="37">
        <v>45</v>
      </c>
      <c r="E282" s="29">
        <v>23</v>
      </c>
    </row>
    <row r="283" spans="2:5" x14ac:dyDescent="0.3">
      <c r="B283" s="38" t="s">
        <v>604</v>
      </c>
      <c r="C283" s="39" t="s">
        <v>605</v>
      </c>
      <c r="D283" s="40">
        <v>50</v>
      </c>
      <c r="E283" s="29">
        <v>22</v>
      </c>
    </row>
    <row r="284" spans="2:5" x14ac:dyDescent="0.3">
      <c r="B284" s="38" t="s">
        <v>606</v>
      </c>
      <c r="C284" s="39" t="s">
        <v>607</v>
      </c>
      <c r="D284" s="40">
        <v>50</v>
      </c>
      <c r="E284" s="29">
        <v>22</v>
      </c>
    </row>
    <row r="285" spans="2:5" x14ac:dyDescent="0.3">
      <c r="B285" s="38" t="s">
        <v>608</v>
      </c>
      <c r="C285" s="39" t="s">
        <v>609</v>
      </c>
      <c r="D285" s="40">
        <v>50</v>
      </c>
      <c r="E285" s="29">
        <v>22</v>
      </c>
    </row>
    <row r="286" spans="2:5" x14ac:dyDescent="0.3">
      <c r="B286" s="26" t="s">
        <v>610</v>
      </c>
      <c r="C286" s="27" t="s">
        <v>611</v>
      </c>
      <c r="D286" s="28">
        <v>25</v>
      </c>
      <c r="E286" s="29">
        <v>21</v>
      </c>
    </row>
    <row r="287" spans="2:5" x14ac:dyDescent="0.3">
      <c r="B287" s="33" t="s">
        <v>612</v>
      </c>
      <c r="C287" s="34" t="s">
        <v>613</v>
      </c>
      <c r="D287" s="32">
        <v>55</v>
      </c>
      <c r="E287" s="29">
        <v>30</v>
      </c>
    </row>
    <row r="288" spans="2:5" x14ac:dyDescent="0.3">
      <c r="B288" s="26" t="s">
        <v>614</v>
      </c>
      <c r="C288" s="27" t="s">
        <v>615</v>
      </c>
      <c r="D288" s="28">
        <v>25</v>
      </c>
      <c r="E288" s="29">
        <v>30</v>
      </c>
    </row>
    <row r="289" spans="2:5" x14ac:dyDescent="0.3">
      <c r="B289" s="26" t="s">
        <v>616</v>
      </c>
      <c r="C289" s="27" t="s">
        <v>617</v>
      </c>
      <c r="D289" s="28">
        <v>25</v>
      </c>
      <c r="E289" s="29">
        <v>33</v>
      </c>
    </row>
    <row r="290" spans="2:5" x14ac:dyDescent="0.3">
      <c r="B290" s="26" t="s">
        <v>618</v>
      </c>
      <c r="C290" s="27" t="s">
        <v>619</v>
      </c>
      <c r="D290" s="28">
        <v>25</v>
      </c>
      <c r="E290" s="29">
        <v>39</v>
      </c>
    </row>
    <row r="291" spans="2:5" x14ac:dyDescent="0.3">
      <c r="B291" s="26" t="s">
        <v>620</v>
      </c>
      <c r="C291" s="27" t="s">
        <v>621</v>
      </c>
      <c r="D291" s="28">
        <v>25</v>
      </c>
      <c r="E291" s="29">
        <v>16</v>
      </c>
    </row>
    <row r="292" spans="2:5" x14ac:dyDescent="0.3">
      <c r="B292" s="26" t="s">
        <v>622</v>
      </c>
      <c r="C292" s="27" t="s">
        <v>623</v>
      </c>
      <c r="D292" s="28">
        <v>25</v>
      </c>
      <c r="E292" s="29">
        <v>48</v>
      </c>
    </row>
    <row r="293" spans="2:5" x14ac:dyDescent="0.3">
      <c r="B293" s="26" t="s">
        <v>624</v>
      </c>
      <c r="C293" s="27" t="s">
        <v>625</v>
      </c>
      <c r="D293" s="28">
        <v>25</v>
      </c>
      <c r="E293" s="29">
        <v>48</v>
      </c>
    </row>
    <row r="294" spans="2:5" x14ac:dyDescent="0.3">
      <c r="B294" s="26" t="s">
        <v>626</v>
      </c>
      <c r="C294" s="27" t="s">
        <v>627</v>
      </c>
      <c r="D294" s="28">
        <v>25</v>
      </c>
      <c r="E294" s="29">
        <v>19</v>
      </c>
    </row>
    <row r="295" spans="2:5" x14ac:dyDescent="0.3">
      <c r="B295" s="26" t="s">
        <v>628</v>
      </c>
      <c r="C295" s="27" t="s">
        <v>629</v>
      </c>
      <c r="D295" s="28">
        <v>25</v>
      </c>
      <c r="E295" s="29">
        <v>37</v>
      </c>
    </row>
    <row r="296" spans="2:5" x14ac:dyDescent="0.3">
      <c r="B296" s="26" t="s">
        <v>630</v>
      </c>
      <c r="C296" s="27" t="s">
        <v>631</v>
      </c>
      <c r="D296" s="28">
        <v>25</v>
      </c>
      <c r="E296" s="29">
        <v>37</v>
      </c>
    </row>
    <row r="297" spans="2:5" x14ac:dyDescent="0.3">
      <c r="B297" s="26" t="s">
        <v>632</v>
      </c>
      <c r="C297" s="27" t="s">
        <v>633</v>
      </c>
      <c r="D297" s="28">
        <v>25</v>
      </c>
      <c r="E297" s="29">
        <v>35</v>
      </c>
    </row>
    <row r="298" spans="2:5" x14ac:dyDescent="0.3">
      <c r="B298" s="26" t="s">
        <v>634</v>
      </c>
      <c r="C298" s="27" t="s">
        <v>635</v>
      </c>
      <c r="D298" s="28">
        <v>25</v>
      </c>
      <c r="E298" s="29">
        <v>35</v>
      </c>
    </row>
    <row r="299" spans="2:5" x14ac:dyDescent="0.3">
      <c r="B299" s="26" t="s">
        <v>636</v>
      </c>
      <c r="C299" s="27" t="s">
        <v>637</v>
      </c>
      <c r="D299" s="28">
        <v>25</v>
      </c>
      <c r="E299" s="29">
        <v>35</v>
      </c>
    </row>
    <row r="300" spans="2:5" x14ac:dyDescent="0.3">
      <c r="B300" s="38" t="s">
        <v>638</v>
      </c>
      <c r="C300" s="39" t="s">
        <v>639</v>
      </c>
      <c r="D300" s="40">
        <v>50</v>
      </c>
      <c r="E300" s="29">
        <v>13</v>
      </c>
    </row>
    <row r="301" spans="2:5" x14ac:dyDescent="0.3">
      <c r="B301" s="35" t="s">
        <v>640</v>
      </c>
      <c r="C301" s="36" t="s">
        <v>641</v>
      </c>
      <c r="D301" s="37">
        <v>45</v>
      </c>
      <c r="E301" s="29">
        <v>13</v>
      </c>
    </row>
    <row r="302" spans="2:5" x14ac:dyDescent="0.3">
      <c r="B302" s="38" t="s">
        <v>642</v>
      </c>
      <c r="C302" s="39" t="s">
        <v>643</v>
      </c>
      <c r="D302" s="40">
        <v>50</v>
      </c>
      <c r="E302" s="29">
        <v>25</v>
      </c>
    </row>
    <row r="303" spans="2:5" x14ac:dyDescent="0.3">
      <c r="B303" s="35" t="s">
        <v>644</v>
      </c>
      <c r="C303" s="36" t="s">
        <v>645</v>
      </c>
      <c r="D303" s="37">
        <v>45</v>
      </c>
      <c r="E303" s="29">
        <v>25</v>
      </c>
    </row>
    <row r="304" spans="2:5" x14ac:dyDescent="0.3">
      <c r="B304" s="38" t="s">
        <v>646</v>
      </c>
      <c r="C304" s="39" t="s">
        <v>647</v>
      </c>
      <c r="D304" s="40">
        <v>50</v>
      </c>
      <c r="E304" s="29">
        <v>39</v>
      </c>
    </row>
    <row r="305" spans="2:5" x14ac:dyDescent="0.3">
      <c r="B305" s="35" t="s">
        <v>648</v>
      </c>
      <c r="C305" s="36" t="s">
        <v>649</v>
      </c>
      <c r="D305" s="37">
        <v>45</v>
      </c>
      <c r="E305" s="29">
        <v>39</v>
      </c>
    </row>
    <row r="306" spans="2:5" x14ac:dyDescent="0.3">
      <c r="B306" s="38" t="s">
        <v>650</v>
      </c>
      <c r="C306" s="39" t="s">
        <v>651</v>
      </c>
      <c r="D306" s="40">
        <v>50</v>
      </c>
      <c r="E306" s="29">
        <v>28</v>
      </c>
    </row>
    <row r="307" spans="2:5" x14ac:dyDescent="0.3">
      <c r="B307" s="35" t="s">
        <v>652</v>
      </c>
      <c r="C307" s="36" t="s">
        <v>653</v>
      </c>
      <c r="D307" s="37">
        <v>45</v>
      </c>
      <c r="E307" s="29">
        <v>28</v>
      </c>
    </row>
    <row r="308" spans="2:5" x14ac:dyDescent="0.3">
      <c r="B308" s="26" t="s">
        <v>654</v>
      </c>
      <c r="C308" s="27" t="s">
        <v>655</v>
      </c>
      <c r="D308" s="28">
        <v>25</v>
      </c>
      <c r="E308" s="29">
        <v>28</v>
      </c>
    </row>
    <row r="309" spans="2:5" x14ac:dyDescent="0.3">
      <c r="B309" s="26" t="s">
        <v>656</v>
      </c>
      <c r="C309" s="27" t="s">
        <v>657</v>
      </c>
      <c r="D309" s="28">
        <v>25</v>
      </c>
      <c r="E309" s="29">
        <v>32</v>
      </c>
    </row>
    <row r="310" spans="2:5" x14ac:dyDescent="0.3">
      <c r="B310" s="26" t="s">
        <v>658</v>
      </c>
      <c r="C310" s="27" t="s">
        <v>659</v>
      </c>
      <c r="D310" s="28">
        <v>25</v>
      </c>
      <c r="E310" s="29">
        <v>32</v>
      </c>
    </row>
    <row r="311" spans="2:5" x14ac:dyDescent="0.3">
      <c r="B311" s="38" t="s">
        <v>660</v>
      </c>
      <c r="C311" s="39" t="s">
        <v>661</v>
      </c>
      <c r="D311" s="40">
        <v>50</v>
      </c>
      <c r="E311" s="29">
        <v>42</v>
      </c>
    </row>
    <row r="312" spans="2:5" x14ac:dyDescent="0.3">
      <c r="B312" s="38" t="s">
        <v>662</v>
      </c>
      <c r="C312" s="39" t="s">
        <v>663</v>
      </c>
      <c r="D312" s="40">
        <v>50</v>
      </c>
      <c r="E312" s="29">
        <v>42</v>
      </c>
    </row>
    <row r="313" spans="2:5" x14ac:dyDescent="0.3">
      <c r="B313" s="38" t="s">
        <v>664</v>
      </c>
      <c r="C313" s="39" t="s">
        <v>665</v>
      </c>
      <c r="D313" s="40">
        <v>50</v>
      </c>
      <c r="E313" s="29">
        <v>27</v>
      </c>
    </row>
    <row r="314" spans="2:5" x14ac:dyDescent="0.3">
      <c r="B314" s="38" t="s">
        <v>666</v>
      </c>
      <c r="C314" s="39" t="s">
        <v>667</v>
      </c>
      <c r="D314" s="40">
        <v>50</v>
      </c>
      <c r="E314" s="29">
        <v>27</v>
      </c>
    </row>
    <row r="315" spans="2:5" x14ac:dyDescent="0.3">
      <c r="B315" s="38" t="s">
        <v>668</v>
      </c>
      <c r="C315" s="39" t="s">
        <v>669</v>
      </c>
      <c r="D315" s="40">
        <v>50</v>
      </c>
      <c r="E315" s="29">
        <v>32</v>
      </c>
    </row>
    <row r="316" spans="2:5" x14ac:dyDescent="0.3">
      <c r="B316" s="38" t="s">
        <v>670</v>
      </c>
      <c r="C316" s="39" t="s">
        <v>671</v>
      </c>
      <c r="D316" s="40">
        <v>50</v>
      </c>
      <c r="E316" s="29">
        <v>14</v>
      </c>
    </row>
    <row r="317" spans="2:5" x14ac:dyDescent="0.3">
      <c r="B317" s="38" t="s">
        <v>672</v>
      </c>
      <c r="C317" s="39" t="s">
        <v>673</v>
      </c>
      <c r="D317" s="40">
        <v>50</v>
      </c>
      <c r="E317" s="29">
        <v>14</v>
      </c>
    </row>
    <row r="318" spans="2:5" x14ac:dyDescent="0.3">
      <c r="B318" s="38" t="s">
        <v>674</v>
      </c>
      <c r="C318" s="39" t="s">
        <v>675</v>
      </c>
      <c r="D318" s="40">
        <v>50</v>
      </c>
      <c r="E318" s="29">
        <v>31</v>
      </c>
    </row>
    <row r="319" spans="2:5" x14ac:dyDescent="0.3">
      <c r="B319" s="38" t="s">
        <v>676</v>
      </c>
      <c r="C319" s="39" t="s">
        <v>677</v>
      </c>
      <c r="D319" s="40">
        <v>50</v>
      </c>
      <c r="E319" s="29">
        <v>35</v>
      </c>
    </row>
    <row r="320" spans="2:5" x14ac:dyDescent="0.3">
      <c r="B320" s="38" t="s">
        <v>678</v>
      </c>
      <c r="C320" s="39" t="s">
        <v>679</v>
      </c>
      <c r="D320" s="40">
        <v>50</v>
      </c>
      <c r="E320" s="29">
        <v>35</v>
      </c>
    </row>
    <row r="321" spans="2:5" x14ac:dyDescent="0.3">
      <c r="B321" s="38" t="s">
        <v>680</v>
      </c>
      <c r="C321" s="39" t="s">
        <v>681</v>
      </c>
      <c r="D321" s="40">
        <v>50</v>
      </c>
      <c r="E321" s="29">
        <v>12</v>
      </c>
    </row>
    <row r="322" spans="2:5" x14ac:dyDescent="0.3">
      <c r="B322" s="38" t="s">
        <v>682</v>
      </c>
      <c r="C322" s="39" t="s">
        <v>683</v>
      </c>
      <c r="D322" s="40">
        <v>50</v>
      </c>
      <c r="E322" s="29">
        <v>19</v>
      </c>
    </row>
    <row r="323" spans="2:5" x14ac:dyDescent="0.3">
      <c r="B323" s="38" t="s">
        <v>684</v>
      </c>
      <c r="C323" s="39" t="s">
        <v>685</v>
      </c>
      <c r="D323" s="40">
        <v>50</v>
      </c>
      <c r="E323" s="29">
        <v>26</v>
      </c>
    </row>
    <row r="324" spans="2:5" x14ac:dyDescent="0.3">
      <c r="B324" s="38" t="s">
        <v>686</v>
      </c>
      <c r="C324" s="39" t="s">
        <v>687</v>
      </c>
      <c r="D324" s="40">
        <v>50</v>
      </c>
      <c r="E324" s="29">
        <v>31</v>
      </c>
    </row>
    <row r="325" spans="2:5" x14ac:dyDescent="0.3">
      <c r="B325" s="38" t="s">
        <v>688</v>
      </c>
      <c r="C325" s="39" t="s">
        <v>689</v>
      </c>
      <c r="D325" s="40">
        <v>50</v>
      </c>
      <c r="E325" s="29">
        <v>14</v>
      </c>
    </row>
    <row r="326" spans="2:5" x14ac:dyDescent="0.3">
      <c r="B326" s="35" t="s">
        <v>690</v>
      </c>
      <c r="C326" s="36" t="s">
        <v>691</v>
      </c>
      <c r="D326" s="37">
        <v>45</v>
      </c>
      <c r="E326" s="29">
        <v>14</v>
      </c>
    </row>
    <row r="327" spans="2:5" x14ac:dyDescent="0.3">
      <c r="B327" s="38" t="s">
        <v>692</v>
      </c>
      <c r="C327" s="39" t="s">
        <v>693</v>
      </c>
      <c r="D327" s="40">
        <v>50</v>
      </c>
      <c r="E327" s="29">
        <v>32</v>
      </c>
    </row>
    <row r="328" spans="2:5" x14ac:dyDescent="0.3">
      <c r="B328" s="33" t="s">
        <v>694</v>
      </c>
      <c r="C328" s="34" t="s">
        <v>695</v>
      </c>
      <c r="D328" s="32">
        <v>55</v>
      </c>
      <c r="E328" s="29">
        <v>31</v>
      </c>
    </row>
    <row r="329" spans="2:5" x14ac:dyDescent="0.3">
      <c r="B329" s="33" t="s">
        <v>696</v>
      </c>
      <c r="C329" s="34" t="s">
        <v>697</v>
      </c>
      <c r="D329" s="32">
        <v>55</v>
      </c>
      <c r="E329" s="29">
        <v>10</v>
      </c>
    </row>
    <row r="330" spans="2:5" x14ac:dyDescent="0.3">
      <c r="B330" s="38" t="s">
        <v>698</v>
      </c>
      <c r="C330" s="39" t="s">
        <v>699</v>
      </c>
      <c r="D330" s="40">
        <v>50</v>
      </c>
      <c r="E330" s="29">
        <v>53</v>
      </c>
    </row>
    <row r="331" spans="2:5" x14ac:dyDescent="0.3">
      <c r="B331" s="38" t="s">
        <v>700</v>
      </c>
      <c r="C331" s="39" t="s">
        <v>701</v>
      </c>
      <c r="D331" s="40">
        <v>50</v>
      </c>
      <c r="E331" s="29">
        <v>42</v>
      </c>
    </row>
    <row r="332" spans="2:5" x14ac:dyDescent="0.3">
      <c r="B332" s="38" t="s">
        <v>702</v>
      </c>
      <c r="C332" s="39" t="s">
        <v>703</v>
      </c>
      <c r="D332" s="40">
        <v>50</v>
      </c>
      <c r="E332" s="29">
        <v>33</v>
      </c>
    </row>
    <row r="333" spans="2:5" x14ac:dyDescent="0.3">
      <c r="B333" s="38" t="s">
        <v>704</v>
      </c>
      <c r="C333" s="39" t="s">
        <v>705</v>
      </c>
      <c r="D333" s="40">
        <v>50</v>
      </c>
      <c r="E333" s="29">
        <v>51</v>
      </c>
    </row>
    <row r="334" spans="2:5" x14ac:dyDescent="0.3">
      <c r="B334" s="38" t="s">
        <v>706</v>
      </c>
      <c r="C334" s="39" t="s">
        <v>707</v>
      </c>
      <c r="D334" s="40">
        <v>50</v>
      </c>
      <c r="E334" s="29">
        <v>17</v>
      </c>
    </row>
    <row r="335" spans="2:5" x14ac:dyDescent="0.3">
      <c r="B335" s="38" t="s">
        <v>708</v>
      </c>
      <c r="C335" s="39" t="s">
        <v>709</v>
      </c>
      <c r="D335" s="40">
        <v>50</v>
      </c>
      <c r="E335" s="29">
        <v>38</v>
      </c>
    </row>
    <row r="336" spans="2:5" x14ac:dyDescent="0.3">
      <c r="B336" s="38" t="s">
        <v>710</v>
      </c>
      <c r="C336" s="39" t="s">
        <v>711</v>
      </c>
      <c r="D336" s="40">
        <v>50</v>
      </c>
      <c r="E336" s="29">
        <v>38</v>
      </c>
    </row>
    <row r="337" spans="2:5" x14ac:dyDescent="0.3">
      <c r="B337" s="33" t="s">
        <v>712</v>
      </c>
      <c r="C337" s="34" t="s">
        <v>713</v>
      </c>
      <c r="D337" s="32">
        <v>55</v>
      </c>
      <c r="E337" s="29">
        <v>7</v>
      </c>
    </row>
    <row r="338" spans="2:5" x14ac:dyDescent="0.3">
      <c r="B338" s="33" t="s">
        <v>714</v>
      </c>
      <c r="C338" s="34" t="s">
        <v>715</v>
      </c>
      <c r="D338" s="32">
        <v>55</v>
      </c>
      <c r="E338" s="29">
        <v>7</v>
      </c>
    </row>
    <row r="339" spans="2:5" x14ac:dyDescent="0.3">
      <c r="B339" s="33" t="s">
        <v>716</v>
      </c>
      <c r="C339" s="34" t="s">
        <v>717</v>
      </c>
      <c r="D339" s="32">
        <v>55</v>
      </c>
      <c r="E339" s="29">
        <v>7</v>
      </c>
    </row>
    <row r="340" spans="2:5" x14ac:dyDescent="0.3">
      <c r="B340" s="33" t="s">
        <v>718</v>
      </c>
      <c r="C340" s="34" t="s">
        <v>719</v>
      </c>
      <c r="D340" s="32">
        <v>55</v>
      </c>
      <c r="E340" s="29">
        <v>7</v>
      </c>
    </row>
    <row r="341" spans="2:5" x14ac:dyDescent="0.3">
      <c r="B341" s="33" t="s">
        <v>720</v>
      </c>
      <c r="C341" s="34" t="s">
        <v>721</v>
      </c>
      <c r="D341" s="32">
        <v>55</v>
      </c>
      <c r="E341" s="29">
        <v>7</v>
      </c>
    </row>
    <row r="342" spans="2:5" x14ac:dyDescent="0.3">
      <c r="B342" s="33" t="s">
        <v>722</v>
      </c>
      <c r="C342" s="34" t="s">
        <v>723</v>
      </c>
      <c r="D342" s="32">
        <v>55</v>
      </c>
      <c r="E342" s="29">
        <v>34</v>
      </c>
    </row>
    <row r="343" spans="2:5" x14ac:dyDescent="0.3">
      <c r="B343" s="33" t="s">
        <v>724</v>
      </c>
      <c r="C343" s="34" t="s">
        <v>725</v>
      </c>
      <c r="D343" s="32">
        <v>55</v>
      </c>
      <c r="E343" s="29">
        <v>34</v>
      </c>
    </row>
    <row r="344" spans="2:5" x14ac:dyDescent="0.3">
      <c r="B344" s="33" t="s">
        <v>726</v>
      </c>
      <c r="C344" s="34" t="s">
        <v>727</v>
      </c>
      <c r="D344" s="32">
        <v>55</v>
      </c>
      <c r="E344" s="29">
        <v>34</v>
      </c>
    </row>
    <row r="345" spans="2:5" x14ac:dyDescent="0.3">
      <c r="B345" s="33" t="s">
        <v>728</v>
      </c>
      <c r="C345" s="34" t="s">
        <v>729</v>
      </c>
      <c r="D345" s="32">
        <v>55</v>
      </c>
      <c r="E345" s="29">
        <v>29</v>
      </c>
    </row>
    <row r="346" spans="2:5" x14ac:dyDescent="0.3">
      <c r="B346" s="33" t="s">
        <v>730</v>
      </c>
      <c r="C346" s="34" t="s">
        <v>731</v>
      </c>
      <c r="D346" s="32">
        <v>55</v>
      </c>
      <c r="E346" s="29">
        <v>23</v>
      </c>
    </row>
    <row r="347" spans="2:5" x14ac:dyDescent="0.3">
      <c r="B347" s="33" t="s">
        <v>732</v>
      </c>
      <c r="C347" s="34" t="s">
        <v>733</v>
      </c>
      <c r="D347" s="32">
        <v>55</v>
      </c>
      <c r="E347" s="29">
        <v>22</v>
      </c>
    </row>
    <row r="348" spans="2:5" x14ac:dyDescent="0.3">
      <c r="B348" s="33" t="s">
        <v>734</v>
      </c>
      <c r="C348" s="34" t="s">
        <v>735</v>
      </c>
      <c r="D348" s="32">
        <v>55</v>
      </c>
      <c r="E348" s="29">
        <v>20</v>
      </c>
    </row>
    <row r="349" spans="2:5" x14ac:dyDescent="0.3">
      <c r="B349" s="33" t="s">
        <v>736</v>
      </c>
      <c r="C349" s="34" t="s">
        <v>737</v>
      </c>
      <c r="D349" s="32">
        <v>55</v>
      </c>
      <c r="E349" s="29">
        <v>33</v>
      </c>
    </row>
    <row r="350" spans="2:5" x14ac:dyDescent="0.3">
      <c r="B350" s="33" t="s">
        <v>738</v>
      </c>
      <c r="C350" s="34" t="s">
        <v>739</v>
      </c>
      <c r="D350" s="32">
        <v>55</v>
      </c>
      <c r="E350" s="29">
        <v>26</v>
      </c>
    </row>
    <row r="351" spans="2:5" x14ac:dyDescent="0.3">
      <c r="B351" s="33" t="s">
        <v>740</v>
      </c>
      <c r="C351" s="34" t="s">
        <v>741</v>
      </c>
      <c r="D351" s="32">
        <v>55</v>
      </c>
      <c r="E351" s="29">
        <v>26</v>
      </c>
    </row>
    <row r="352" spans="2:5" x14ac:dyDescent="0.3">
      <c r="B352" s="26" t="s">
        <v>742</v>
      </c>
      <c r="C352" s="27" t="s">
        <v>743</v>
      </c>
      <c r="D352" s="28">
        <v>25</v>
      </c>
      <c r="E352" s="29">
        <v>144</v>
      </c>
    </row>
    <row r="353" spans="2:5" x14ac:dyDescent="0.3">
      <c r="B353" s="33" t="s">
        <v>744</v>
      </c>
      <c r="C353" s="34" t="s">
        <v>745</v>
      </c>
      <c r="D353" s="32">
        <v>55</v>
      </c>
      <c r="E353" s="29">
        <v>29</v>
      </c>
    </row>
    <row r="354" spans="2:5" x14ac:dyDescent="0.3">
      <c r="B354" s="33" t="s">
        <v>746</v>
      </c>
      <c r="C354" s="34" t="s">
        <v>747</v>
      </c>
      <c r="D354" s="32">
        <v>55</v>
      </c>
      <c r="E354" s="29">
        <v>29</v>
      </c>
    </row>
    <row r="355" spans="2:5" x14ac:dyDescent="0.3">
      <c r="B355" s="26" t="s">
        <v>748</v>
      </c>
      <c r="C355" s="27" t="s">
        <v>749</v>
      </c>
      <c r="D355" s="28">
        <v>25</v>
      </c>
      <c r="E355" s="29">
        <v>47</v>
      </c>
    </row>
    <row r="356" spans="2:5" x14ac:dyDescent="0.3">
      <c r="B356" s="26" t="s">
        <v>750</v>
      </c>
      <c r="C356" s="27" t="s">
        <v>751</v>
      </c>
      <c r="D356" s="28">
        <v>25</v>
      </c>
      <c r="E356" s="29">
        <v>11</v>
      </c>
    </row>
    <row r="357" spans="2:5" x14ac:dyDescent="0.3">
      <c r="B357" s="26" t="s">
        <v>752</v>
      </c>
      <c r="C357" s="27" t="s">
        <v>753</v>
      </c>
      <c r="D357" s="28">
        <v>25</v>
      </c>
      <c r="E357" s="29">
        <v>24</v>
      </c>
    </row>
    <row r="358" spans="2:5" x14ac:dyDescent="0.3">
      <c r="B358" s="26" t="s">
        <v>754</v>
      </c>
      <c r="C358" s="27" t="s">
        <v>755</v>
      </c>
      <c r="D358" s="28">
        <v>25</v>
      </c>
      <c r="E358" s="29">
        <v>6</v>
      </c>
    </row>
    <row r="359" spans="2:5" x14ac:dyDescent="0.3">
      <c r="B359" s="26" t="s">
        <v>756</v>
      </c>
      <c r="C359" s="27" t="s">
        <v>757</v>
      </c>
      <c r="D359" s="28">
        <v>25</v>
      </c>
      <c r="E359" s="29">
        <v>26</v>
      </c>
    </row>
    <row r="360" spans="2:5" x14ac:dyDescent="0.3">
      <c r="B360" s="26" t="s">
        <v>758</v>
      </c>
      <c r="C360" s="27" t="s">
        <v>759</v>
      </c>
      <c r="D360" s="28">
        <v>25</v>
      </c>
      <c r="E360" s="29">
        <v>16</v>
      </c>
    </row>
    <row r="361" spans="2:5" x14ac:dyDescent="0.3">
      <c r="B361" s="26" t="s">
        <v>760</v>
      </c>
      <c r="C361" s="27" t="s">
        <v>761</v>
      </c>
      <c r="D361" s="28">
        <v>25</v>
      </c>
      <c r="E361" s="29">
        <v>15</v>
      </c>
    </row>
    <row r="362" spans="2:5" x14ac:dyDescent="0.3">
      <c r="B362" s="26" t="s">
        <v>762</v>
      </c>
      <c r="C362" s="27" t="s">
        <v>763</v>
      </c>
      <c r="D362" s="28">
        <v>25</v>
      </c>
      <c r="E362" s="29">
        <v>15</v>
      </c>
    </row>
    <row r="363" spans="2:5" x14ac:dyDescent="0.3">
      <c r="B363" s="26" t="s">
        <v>764</v>
      </c>
      <c r="C363" s="27" t="s">
        <v>765</v>
      </c>
      <c r="D363" s="28">
        <v>25</v>
      </c>
      <c r="E363" s="29">
        <v>40</v>
      </c>
    </row>
    <row r="364" spans="2:5" x14ac:dyDescent="0.3">
      <c r="B364" s="26" t="s">
        <v>766</v>
      </c>
      <c r="C364" s="27" t="s">
        <v>767</v>
      </c>
      <c r="D364" s="28">
        <v>25</v>
      </c>
      <c r="E364" s="29">
        <v>51</v>
      </c>
    </row>
    <row r="365" spans="2:5" x14ac:dyDescent="0.3">
      <c r="B365" s="38" t="s">
        <v>768</v>
      </c>
      <c r="C365" s="39" t="s">
        <v>769</v>
      </c>
      <c r="D365" s="40">
        <v>50</v>
      </c>
      <c r="E365" s="29">
        <v>64</v>
      </c>
    </row>
    <row r="366" spans="2:5" x14ac:dyDescent="0.3">
      <c r="B366" s="26" t="s">
        <v>770</v>
      </c>
      <c r="C366" s="27" t="s">
        <v>771</v>
      </c>
      <c r="D366" s="28">
        <v>25</v>
      </c>
      <c r="E366" s="29">
        <v>47</v>
      </c>
    </row>
    <row r="367" spans="2:5" x14ac:dyDescent="0.3">
      <c r="B367" s="26" t="s">
        <v>772</v>
      </c>
      <c r="C367" s="27" t="s">
        <v>773</v>
      </c>
      <c r="D367" s="28">
        <v>25</v>
      </c>
      <c r="E367" s="29">
        <v>41</v>
      </c>
    </row>
    <row r="368" spans="2:5" x14ac:dyDescent="0.3">
      <c r="B368" s="26" t="s">
        <v>774</v>
      </c>
      <c r="C368" s="27" t="s">
        <v>775</v>
      </c>
      <c r="D368" s="28">
        <v>25</v>
      </c>
      <c r="E368" s="29">
        <v>40</v>
      </c>
    </row>
    <row r="369" spans="2:5" x14ac:dyDescent="0.3">
      <c r="B369" s="26" t="s">
        <v>776</v>
      </c>
      <c r="C369" s="27" t="s">
        <v>777</v>
      </c>
      <c r="D369" s="28">
        <v>25</v>
      </c>
      <c r="E369" s="29">
        <v>40</v>
      </c>
    </row>
    <row r="370" spans="2:5" x14ac:dyDescent="0.3">
      <c r="B370" s="26" t="s">
        <v>778</v>
      </c>
      <c r="C370" s="27" t="s">
        <v>779</v>
      </c>
      <c r="D370" s="28">
        <v>25</v>
      </c>
      <c r="E370" s="29">
        <v>40</v>
      </c>
    </row>
    <row r="371" spans="2:5" x14ac:dyDescent="0.3">
      <c r="B371" s="26" t="s">
        <v>780</v>
      </c>
      <c r="C371" s="27" t="s">
        <v>781</v>
      </c>
      <c r="D371" s="28">
        <v>25</v>
      </c>
      <c r="E371" s="29">
        <v>40</v>
      </c>
    </row>
    <row r="372" spans="2:5" x14ac:dyDescent="0.3">
      <c r="B372" s="26" t="s">
        <v>782</v>
      </c>
      <c r="C372" s="27" t="s">
        <v>783</v>
      </c>
      <c r="D372" s="28">
        <v>25</v>
      </c>
      <c r="E372" s="29">
        <v>189</v>
      </c>
    </row>
    <row r="373" spans="2:5" x14ac:dyDescent="0.3">
      <c r="B373" s="26" t="s">
        <v>784</v>
      </c>
      <c r="C373" s="27" t="s">
        <v>785</v>
      </c>
      <c r="D373" s="28">
        <v>25</v>
      </c>
      <c r="E373" s="29">
        <v>60</v>
      </c>
    </row>
    <row r="374" spans="2:5" x14ac:dyDescent="0.3">
      <c r="B374" s="26" t="s">
        <v>786</v>
      </c>
      <c r="C374" s="27" t="s">
        <v>787</v>
      </c>
      <c r="D374" s="28">
        <v>25</v>
      </c>
      <c r="E374" s="29">
        <v>57</v>
      </c>
    </row>
    <row r="375" spans="2:5" x14ac:dyDescent="0.3">
      <c r="B375" s="26" t="s">
        <v>788</v>
      </c>
      <c r="C375" s="27" t="s">
        <v>789</v>
      </c>
      <c r="D375" s="28">
        <v>25</v>
      </c>
      <c r="E375" s="29">
        <v>66</v>
      </c>
    </row>
    <row r="376" spans="2:5" x14ac:dyDescent="0.3">
      <c r="B376" s="26" t="s">
        <v>790</v>
      </c>
      <c r="C376" s="27" t="s">
        <v>791</v>
      </c>
      <c r="D376" s="28">
        <v>25</v>
      </c>
      <c r="E376" s="29">
        <v>66</v>
      </c>
    </row>
    <row r="377" spans="2:5" x14ac:dyDescent="0.3">
      <c r="B377" s="26" t="s">
        <v>792</v>
      </c>
      <c r="C377" s="27" t="s">
        <v>793</v>
      </c>
      <c r="D377" s="28">
        <v>25</v>
      </c>
      <c r="E377" s="29">
        <v>66</v>
      </c>
    </row>
    <row r="378" spans="2:5" x14ac:dyDescent="0.3">
      <c r="B378" s="26" t="s">
        <v>794</v>
      </c>
      <c r="C378" s="27" t="s">
        <v>795</v>
      </c>
      <c r="D378" s="28">
        <v>25</v>
      </c>
      <c r="E378" s="29">
        <v>66</v>
      </c>
    </row>
    <row r="379" spans="2:5" x14ac:dyDescent="0.3">
      <c r="B379" s="35" t="s">
        <v>796</v>
      </c>
      <c r="C379" s="36" t="s">
        <v>797</v>
      </c>
      <c r="D379" s="37">
        <v>45</v>
      </c>
      <c r="E379" s="29">
        <v>44</v>
      </c>
    </row>
    <row r="380" spans="2:5" x14ac:dyDescent="0.3">
      <c r="B380" s="35" t="s">
        <v>798</v>
      </c>
      <c r="C380" s="36" t="s">
        <v>799</v>
      </c>
      <c r="D380" s="37">
        <v>45</v>
      </c>
      <c r="E380" s="29">
        <v>44</v>
      </c>
    </row>
    <row r="381" spans="2:5" x14ac:dyDescent="0.3">
      <c r="B381" s="35" t="s">
        <v>800</v>
      </c>
      <c r="C381" s="36" t="s">
        <v>801</v>
      </c>
      <c r="D381" s="37">
        <v>45</v>
      </c>
      <c r="E381" s="29">
        <v>44</v>
      </c>
    </row>
    <row r="382" spans="2:5" x14ac:dyDescent="0.3">
      <c r="B382" s="35" t="s">
        <v>802</v>
      </c>
      <c r="C382" s="36" t="s">
        <v>803</v>
      </c>
      <c r="D382" s="37">
        <v>45</v>
      </c>
      <c r="E382" s="29">
        <v>44</v>
      </c>
    </row>
    <row r="383" spans="2:5" x14ac:dyDescent="0.3">
      <c r="B383" s="35" t="s">
        <v>804</v>
      </c>
      <c r="C383" s="36" t="s">
        <v>805</v>
      </c>
      <c r="D383" s="37">
        <v>45</v>
      </c>
      <c r="E383" s="29">
        <v>44</v>
      </c>
    </row>
    <row r="384" spans="2:5" x14ac:dyDescent="0.3">
      <c r="B384" s="35" t="s">
        <v>806</v>
      </c>
      <c r="C384" s="36" t="s">
        <v>807</v>
      </c>
      <c r="D384" s="37">
        <v>45</v>
      </c>
      <c r="E384" s="29">
        <v>44</v>
      </c>
    </row>
    <row r="385" spans="2:5" x14ac:dyDescent="0.3">
      <c r="B385" s="35" t="s">
        <v>808</v>
      </c>
      <c r="C385" s="36" t="s">
        <v>809</v>
      </c>
      <c r="D385" s="37">
        <v>45</v>
      </c>
      <c r="E385" s="29">
        <v>44</v>
      </c>
    </row>
    <row r="386" spans="2:5" x14ac:dyDescent="0.3">
      <c r="B386" s="35" t="s">
        <v>810</v>
      </c>
      <c r="C386" s="36" t="s">
        <v>811</v>
      </c>
      <c r="D386" s="37">
        <v>45</v>
      </c>
      <c r="E386" s="29">
        <v>44</v>
      </c>
    </row>
    <row r="387" spans="2:5" x14ac:dyDescent="0.3">
      <c r="B387" s="26" t="s">
        <v>812</v>
      </c>
      <c r="C387" s="27" t="s">
        <v>813</v>
      </c>
      <c r="D387" s="28">
        <v>25</v>
      </c>
      <c r="E387" s="29">
        <v>42</v>
      </c>
    </row>
    <row r="388" spans="2:5" x14ac:dyDescent="0.3">
      <c r="B388" s="26" t="s">
        <v>814</v>
      </c>
      <c r="C388" s="27" t="s">
        <v>815</v>
      </c>
      <c r="D388" s="28">
        <v>25</v>
      </c>
      <c r="E388" s="29">
        <v>53</v>
      </c>
    </row>
    <row r="389" spans="2:5" x14ac:dyDescent="0.3">
      <c r="B389" s="26" t="s">
        <v>816</v>
      </c>
      <c r="C389" s="27" t="s">
        <v>817</v>
      </c>
      <c r="D389" s="28">
        <v>25</v>
      </c>
      <c r="E389" s="29">
        <v>53</v>
      </c>
    </row>
    <row r="390" spans="2:5" x14ac:dyDescent="0.3">
      <c r="B390" s="26" t="s">
        <v>818</v>
      </c>
      <c r="C390" s="27" t="s">
        <v>819</v>
      </c>
      <c r="D390" s="28">
        <v>25</v>
      </c>
      <c r="E390" s="29">
        <v>49</v>
      </c>
    </row>
    <row r="391" spans="2:5" x14ac:dyDescent="0.3">
      <c r="B391" s="26" t="s">
        <v>820</v>
      </c>
      <c r="C391" s="27" t="s">
        <v>821</v>
      </c>
      <c r="D391" s="28">
        <v>25</v>
      </c>
      <c r="E391" s="29">
        <v>49</v>
      </c>
    </row>
    <row r="392" spans="2:5" x14ac:dyDescent="0.3">
      <c r="B392" s="26" t="s">
        <v>822</v>
      </c>
      <c r="C392" s="27" t="s">
        <v>823</v>
      </c>
      <c r="D392" s="28">
        <v>25</v>
      </c>
      <c r="E392" s="29">
        <v>49</v>
      </c>
    </row>
    <row r="393" spans="2:5" x14ac:dyDescent="0.3">
      <c r="B393" s="26" t="s">
        <v>824</v>
      </c>
      <c r="C393" s="27" t="s">
        <v>825</v>
      </c>
      <c r="D393" s="28">
        <v>25</v>
      </c>
      <c r="E393" s="29">
        <v>49</v>
      </c>
    </row>
    <row r="394" spans="2:5" x14ac:dyDescent="0.3">
      <c r="B394" s="26" t="s">
        <v>826</v>
      </c>
      <c r="C394" s="27" t="s">
        <v>827</v>
      </c>
      <c r="D394" s="28">
        <v>25</v>
      </c>
      <c r="E394" s="29">
        <v>49</v>
      </c>
    </row>
    <row r="395" spans="2:5" x14ac:dyDescent="0.3">
      <c r="B395" s="26" t="s">
        <v>828</v>
      </c>
      <c r="C395" s="27" t="s">
        <v>829</v>
      </c>
      <c r="D395" s="28">
        <v>25</v>
      </c>
      <c r="E395" s="29">
        <v>49</v>
      </c>
    </row>
    <row r="396" spans="2:5" x14ac:dyDescent="0.3">
      <c r="B396" s="26" t="s">
        <v>830</v>
      </c>
      <c r="C396" s="27" t="s">
        <v>831</v>
      </c>
      <c r="D396" s="28">
        <v>25</v>
      </c>
      <c r="E396" s="29">
        <v>49</v>
      </c>
    </row>
    <row r="397" spans="2:5" x14ac:dyDescent="0.3">
      <c r="B397" s="26" t="s">
        <v>832</v>
      </c>
      <c r="C397" s="41" t="s">
        <v>833</v>
      </c>
      <c r="D397" s="28">
        <v>25</v>
      </c>
      <c r="E397" s="29"/>
    </row>
    <row r="398" spans="2:5" x14ac:dyDescent="0.3">
      <c r="B398" s="26" t="s">
        <v>834</v>
      </c>
      <c r="C398" s="41" t="s">
        <v>835</v>
      </c>
      <c r="D398" s="28">
        <v>25</v>
      </c>
      <c r="E398" s="29"/>
    </row>
    <row r="399" spans="2:5" x14ac:dyDescent="0.3">
      <c r="B399" s="26" t="s">
        <v>836</v>
      </c>
      <c r="C399" s="41" t="s">
        <v>837</v>
      </c>
      <c r="D399" s="28">
        <v>25</v>
      </c>
      <c r="E399" s="29"/>
    </row>
    <row r="400" spans="2:5" x14ac:dyDescent="0.3">
      <c r="B400" s="26" t="s">
        <v>838</v>
      </c>
      <c r="C400" s="41" t="s">
        <v>839</v>
      </c>
      <c r="D400" s="28">
        <v>25</v>
      </c>
      <c r="E400" s="29"/>
    </row>
    <row r="401" spans="2:5" x14ac:dyDescent="0.3">
      <c r="B401" s="26" t="s">
        <v>840</v>
      </c>
      <c r="C401" s="41" t="s">
        <v>841</v>
      </c>
      <c r="D401" s="28">
        <v>25</v>
      </c>
      <c r="E401" s="29"/>
    </row>
    <row r="402" spans="2:5" ht="15" thickBot="1" x14ac:dyDescent="0.35">
      <c r="B402" s="42" t="s">
        <v>842</v>
      </c>
      <c r="C402" s="43" t="s">
        <v>843</v>
      </c>
      <c r="D402" s="44">
        <v>25</v>
      </c>
      <c r="E402" s="45"/>
    </row>
    <row r="403" spans="2:5" x14ac:dyDescent="0.3">
      <c r="B403" s="46" t="s">
        <v>1</v>
      </c>
    </row>
  </sheetData>
  <sheetProtection algorithmName="SHA-512" hashValue="4yu6+YbqdGVhOSyGKK1ZD8ptmk4QlTadYMUknI4BQFNnI5CiwNPJcJ3HuSIfne+X27b+wh6L5tPlx4TFLdJGmA==" saltValue="rdPYtvAobuwkkqZUy2+yHQ==" spinCount="100000" sheet="1" autoFilter="0"/>
  <autoFilter ref="B2:C2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B1:K514"/>
  <sheetViews>
    <sheetView topLeftCell="B1" workbookViewId="0">
      <selection activeCell="G4" sqref="G4"/>
    </sheetView>
  </sheetViews>
  <sheetFormatPr defaultColWidth="11.5546875" defaultRowHeight="13.8" x14ac:dyDescent="0.3"/>
  <cols>
    <col min="1" max="1" width="4.109375" style="47" customWidth="1"/>
    <col min="2" max="2" width="40.44140625" style="47" customWidth="1"/>
    <col min="3" max="3" width="11.5546875" style="47"/>
    <col min="4" max="4" width="36.33203125" style="47" bestFit="1" customWidth="1"/>
    <col min="5" max="5" width="11.5546875" style="48"/>
    <col min="6" max="6" width="14.88671875" style="49" bestFit="1" customWidth="1"/>
    <col min="7" max="7" width="28.44140625" style="49" bestFit="1" customWidth="1"/>
    <col min="8" max="9" width="11.5546875" style="47"/>
    <col min="10" max="10" width="28.109375" style="47" bestFit="1" customWidth="1"/>
    <col min="11" max="11" width="12.44140625" style="47" bestFit="1" customWidth="1"/>
    <col min="12" max="16384" width="11.5546875" style="47"/>
  </cols>
  <sheetData>
    <row r="1" spans="2:11" ht="14.4" thickBot="1" x14ac:dyDescent="0.35"/>
    <row r="2" spans="2:11" ht="27" thickBot="1" x14ac:dyDescent="0.35">
      <c r="B2" s="50" t="s">
        <v>904</v>
      </c>
      <c r="C2" s="51" t="s">
        <v>905</v>
      </c>
      <c r="D2" s="51" t="s">
        <v>2</v>
      </c>
      <c r="E2" s="52" t="s">
        <v>906</v>
      </c>
      <c r="F2" s="53" t="s">
        <v>1527</v>
      </c>
      <c r="G2" s="53" t="s">
        <v>1485</v>
      </c>
      <c r="H2" s="54" t="s">
        <v>907</v>
      </c>
      <c r="J2" s="374" t="s">
        <v>908</v>
      </c>
      <c r="K2" s="376" t="s">
        <v>909</v>
      </c>
    </row>
    <row r="3" spans="2:11" ht="14.4" thickBot="1" x14ac:dyDescent="0.35">
      <c r="B3" s="55" t="s">
        <v>1</v>
      </c>
      <c r="C3" s="56"/>
      <c r="D3" s="57"/>
      <c r="E3" s="58"/>
      <c r="F3" s="59"/>
      <c r="G3" s="59"/>
      <c r="H3" s="60"/>
      <c r="J3" s="375"/>
      <c r="K3" s="377"/>
    </row>
    <row r="4" spans="2:11" ht="20.100000000000001" customHeight="1" thickBot="1" x14ac:dyDescent="0.35">
      <c r="B4" s="61" t="s">
        <v>910</v>
      </c>
      <c r="C4" s="62">
        <v>0.74692342736386885</v>
      </c>
      <c r="D4" s="63" t="s">
        <v>911</v>
      </c>
      <c r="E4" s="64">
        <f t="shared" ref="E4:E67" si="0">VLOOKUP(D4,$J$5:$K$32,2,0)</f>
        <v>0.67400000000000004</v>
      </c>
      <c r="F4" s="65">
        <v>0.49135312243701412</v>
      </c>
      <c r="G4" s="65" t="s">
        <v>1486</v>
      </c>
      <c r="H4" s="66"/>
      <c r="J4" s="67" t="s">
        <v>912</v>
      </c>
      <c r="K4" s="68">
        <v>0.73399999999999999</v>
      </c>
    </row>
    <row r="5" spans="2:11" ht="20.100000000000001" customHeight="1" x14ac:dyDescent="0.3">
      <c r="B5" s="69" t="s">
        <v>913</v>
      </c>
      <c r="C5" s="70">
        <v>0.86281314537864628</v>
      </c>
      <c r="D5" s="71" t="s">
        <v>914</v>
      </c>
      <c r="E5" s="72">
        <f t="shared" si="0"/>
        <v>0.73699999999999999</v>
      </c>
      <c r="F5" s="73">
        <v>0.2696609254809727</v>
      </c>
      <c r="G5" s="73"/>
      <c r="H5" s="74"/>
      <c r="J5" s="75" t="s">
        <v>915</v>
      </c>
      <c r="K5" s="76">
        <v>0.68300000000000005</v>
      </c>
    </row>
    <row r="6" spans="2:11" ht="20.100000000000001" customHeight="1" x14ac:dyDescent="0.3">
      <c r="B6" s="69" t="s">
        <v>916</v>
      </c>
      <c r="C6" s="70">
        <v>0.73316167411461985</v>
      </c>
      <c r="D6" s="77" t="s">
        <v>917</v>
      </c>
      <c r="E6" s="72">
        <f t="shared" si="0"/>
        <v>0.70599999999999996</v>
      </c>
      <c r="F6" s="73">
        <v>0.51917423234536519</v>
      </c>
      <c r="G6" s="73" t="s">
        <v>1486</v>
      </c>
      <c r="H6" s="74"/>
      <c r="J6" s="78" t="s">
        <v>918</v>
      </c>
      <c r="K6" s="79">
        <v>0.80900000000000005</v>
      </c>
    </row>
    <row r="7" spans="2:11" ht="20.100000000000001" customHeight="1" x14ac:dyDescent="0.3">
      <c r="B7" s="69" t="s">
        <v>919</v>
      </c>
      <c r="C7" s="70">
        <v>0.80917600302426584</v>
      </c>
      <c r="D7" s="71" t="s">
        <v>920</v>
      </c>
      <c r="E7" s="72">
        <f t="shared" si="0"/>
        <v>0.76600000000000001</v>
      </c>
      <c r="F7" s="73">
        <v>0.45215983967728246</v>
      </c>
      <c r="G7" s="73"/>
      <c r="H7" s="74"/>
      <c r="J7" s="78" t="s">
        <v>921</v>
      </c>
      <c r="K7" s="79">
        <v>0.67400000000000004</v>
      </c>
    </row>
    <row r="8" spans="2:11" ht="20.100000000000001" customHeight="1" x14ac:dyDescent="0.3">
      <c r="B8" s="69" t="s">
        <v>922</v>
      </c>
      <c r="C8" s="70">
        <v>0.71601138472483949</v>
      </c>
      <c r="D8" s="77" t="s">
        <v>923</v>
      </c>
      <c r="E8" s="72">
        <f t="shared" si="0"/>
        <v>0.748</v>
      </c>
      <c r="F8" s="73">
        <v>0.70709073184332982</v>
      </c>
      <c r="G8" s="73" t="s">
        <v>1488</v>
      </c>
      <c r="H8" s="74"/>
      <c r="J8" s="78" t="s">
        <v>924</v>
      </c>
      <c r="K8" s="79">
        <v>0.72599999999999998</v>
      </c>
    </row>
    <row r="9" spans="2:11" ht="20.100000000000001" customHeight="1" x14ac:dyDescent="0.3">
      <c r="B9" s="69" t="s">
        <v>925</v>
      </c>
      <c r="C9" s="70">
        <v>0.75278082204245822</v>
      </c>
      <c r="D9" s="77" t="s">
        <v>926</v>
      </c>
      <c r="E9" s="72">
        <f t="shared" si="0"/>
        <v>0.66400000000000003</v>
      </c>
      <c r="F9" s="73">
        <v>0.66286779652582184</v>
      </c>
      <c r="G9" s="73" t="s">
        <v>1487</v>
      </c>
      <c r="H9" s="74"/>
      <c r="J9" s="78" t="s">
        <v>927</v>
      </c>
      <c r="K9" s="79">
        <v>0.68300000000000005</v>
      </c>
    </row>
    <row r="10" spans="2:11" ht="20.100000000000001" customHeight="1" x14ac:dyDescent="0.3">
      <c r="B10" s="69" t="s">
        <v>928</v>
      </c>
      <c r="C10" s="70">
        <v>0.7680328774214098</v>
      </c>
      <c r="D10" s="77" t="s">
        <v>923</v>
      </c>
      <c r="E10" s="72">
        <f t="shared" si="0"/>
        <v>0.748</v>
      </c>
      <c r="F10" s="73">
        <v>0.56912463191102769</v>
      </c>
      <c r="G10" s="73" t="s">
        <v>1488</v>
      </c>
      <c r="H10" s="74">
        <v>4</v>
      </c>
      <c r="J10" s="78" t="s">
        <v>929</v>
      </c>
      <c r="K10" s="79">
        <v>0.70599999999999996</v>
      </c>
    </row>
    <row r="11" spans="2:11" ht="20.100000000000001" customHeight="1" x14ac:dyDescent="0.3">
      <c r="B11" s="69" t="s">
        <v>930</v>
      </c>
      <c r="C11" s="70">
        <v>0.82229077712101162</v>
      </c>
      <c r="D11" s="71" t="s">
        <v>931</v>
      </c>
      <c r="E11" s="72">
        <f t="shared" si="0"/>
        <v>0.76900000000000002</v>
      </c>
      <c r="F11" s="73">
        <v>0.30862999141292863</v>
      </c>
      <c r="G11" s="73"/>
      <c r="H11" s="74"/>
      <c r="J11" s="78" t="s">
        <v>932</v>
      </c>
      <c r="K11" s="79">
        <v>0.64200000000000002</v>
      </c>
    </row>
    <row r="12" spans="2:11" ht="20.100000000000001" customHeight="1" x14ac:dyDescent="0.3">
      <c r="B12" s="69" t="s">
        <v>933</v>
      </c>
      <c r="C12" s="70">
        <v>0.81031201035047551</v>
      </c>
      <c r="D12" s="71" t="s">
        <v>934</v>
      </c>
      <c r="E12" s="72">
        <f t="shared" si="0"/>
        <v>0.68799999999999994</v>
      </c>
      <c r="F12" s="73">
        <v>0.32180548559508626</v>
      </c>
      <c r="G12" s="73" t="s">
        <v>1488</v>
      </c>
      <c r="H12" s="74">
        <v>1</v>
      </c>
      <c r="J12" s="78" t="s">
        <v>935</v>
      </c>
      <c r="K12" s="79">
        <v>0.748</v>
      </c>
    </row>
    <row r="13" spans="2:11" ht="20.100000000000001" customHeight="1" x14ac:dyDescent="0.3">
      <c r="B13" s="69" t="s">
        <v>936</v>
      </c>
      <c r="C13" s="70">
        <v>0.80500000000000005</v>
      </c>
      <c r="D13" s="77" t="s">
        <v>937</v>
      </c>
      <c r="E13" s="72">
        <f t="shared" si="0"/>
        <v>0.68300000000000005</v>
      </c>
      <c r="F13" s="73">
        <v>0.47449999999999998</v>
      </c>
      <c r="G13" s="73"/>
      <c r="H13" s="74"/>
      <c r="J13" s="78" t="s">
        <v>938</v>
      </c>
      <c r="K13" s="79">
        <v>0.66400000000000003</v>
      </c>
    </row>
    <row r="14" spans="2:11" ht="20.100000000000001" customHeight="1" x14ac:dyDescent="0.3">
      <c r="B14" s="69" t="s">
        <v>939</v>
      </c>
      <c r="C14" s="70">
        <v>0.78214936179738148</v>
      </c>
      <c r="D14" s="71" t="s">
        <v>940</v>
      </c>
      <c r="E14" s="72">
        <f t="shared" si="0"/>
        <v>0.73399999999999999</v>
      </c>
      <c r="F14" s="73">
        <v>0.39061013744523654</v>
      </c>
      <c r="G14" s="73"/>
      <c r="H14" s="74"/>
      <c r="J14" s="78" t="s">
        <v>941</v>
      </c>
      <c r="K14" s="79">
        <v>0.71699999999999997</v>
      </c>
    </row>
    <row r="15" spans="2:11" ht="20.100000000000001" customHeight="1" x14ac:dyDescent="0.3">
      <c r="B15" s="69" t="s">
        <v>942</v>
      </c>
      <c r="C15" s="70">
        <v>0.58249916704926186</v>
      </c>
      <c r="D15" s="71" t="s">
        <v>943</v>
      </c>
      <c r="E15" s="72">
        <f t="shared" si="0"/>
        <v>0.76400000000000001</v>
      </c>
      <c r="F15" s="73">
        <v>0.61840201914719306</v>
      </c>
      <c r="G15" s="73"/>
      <c r="H15" s="74">
        <v>4</v>
      </c>
      <c r="J15" s="78" t="s">
        <v>944</v>
      </c>
      <c r="K15" s="79">
        <v>0.66500000000000004</v>
      </c>
    </row>
    <row r="16" spans="2:11" ht="20.100000000000001" customHeight="1" x14ac:dyDescent="0.3">
      <c r="B16" s="69" t="s">
        <v>945</v>
      </c>
      <c r="C16" s="70">
        <v>0.64352626074314423</v>
      </c>
      <c r="D16" s="71" t="s">
        <v>946</v>
      </c>
      <c r="E16" s="72">
        <f t="shared" si="0"/>
        <v>0.67200000000000004</v>
      </c>
      <c r="F16" s="73">
        <v>0.66686719676251061</v>
      </c>
      <c r="G16" s="73" t="s">
        <v>1486</v>
      </c>
      <c r="H16" s="74">
        <v>3</v>
      </c>
      <c r="J16" s="78" t="s">
        <v>947</v>
      </c>
      <c r="K16" s="79">
        <v>0.64800000000000002</v>
      </c>
    </row>
    <row r="17" spans="2:11" ht="20.100000000000001" customHeight="1" x14ac:dyDescent="0.3">
      <c r="B17" s="69" t="s">
        <v>948</v>
      </c>
      <c r="C17" s="70">
        <v>0.69643302971097465</v>
      </c>
      <c r="D17" s="71" t="s">
        <v>934</v>
      </c>
      <c r="E17" s="72">
        <f t="shared" si="0"/>
        <v>0.68799999999999994</v>
      </c>
      <c r="F17" s="73">
        <v>0.70453360846882884</v>
      </c>
      <c r="G17" s="73" t="s">
        <v>1488</v>
      </c>
      <c r="H17" s="74" t="s">
        <v>949</v>
      </c>
      <c r="J17" s="78" t="s">
        <v>950</v>
      </c>
      <c r="K17" s="79">
        <v>0.68799999999999994</v>
      </c>
    </row>
    <row r="18" spans="2:11" ht="20.100000000000001" customHeight="1" x14ac:dyDescent="0.3">
      <c r="B18" s="69" t="s">
        <v>951</v>
      </c>
      <c r="C18" s="70">
        <v>0.83180475526261621</v>
      </c>
      <c r="D18" s="77" t="s">
        <v>952</v>
      </c>
      <c r="E18" s="72">
        <f t="shared" si="0"/>
        <v>0.72599999999999998</v>
      </c>
      <c r="F18" s="73">
        <v>0.22383501576923398</v>
      </c>
      <c r="G18" s="73"/>
      <c r="H18" s="74"/>
      <c r="J18" s="78" t="s">
        <v>953</v>
      </c>
      <c r="K18" s="79">
        <v>0.76400000000000001</v>
      </c>
    </row>
    <row r="19" spans="2:11" ht="20.100000000000001" customHeight="1" x14ac:dyDescent="0.3">
      <c r="B19" s="69" t="s">
        <v>954</v>
      </c>
      <c r="C19" s="70">
        <v>0.79092433632195214</v>
      </c>
      <c r="D19" s="71" t="s">
        <v>955</v>
      </c>
      <c r="E19" s="72">
        <f t="shared" si="0"/>
        <v>0.73799999999999999</v>
      </c>
      <c r="F19" s="73">
        <v>0.41355888786566175</v>
      </c>
      <c r="G19" s="73"/>
      <c r="H19" s="74"/>
      <c r="J19" s="78" t="s">
        <v>956</v>
      </c>
      <c r="K19" s="79">
        <v>0.72499999999999998</v>
      </c>
    </row>
    <row r="20" spans="2:11" ht="20.100000000000001" customHeight="1" x14ac:dyDescent="0.3">
      <c r="B20" s="69" t="s">
        <v>957</v>
      </c>
      <c r="C20" s="70">
        <v>0.83059962261760212</v>
      </c>
      <c r="D20" s="71" t="s">
        <v>958</v>
      </c>
      <c r="E20" s="72">
        <f t="shared" si="0"/>
        <v>0.79600000000000004</v>
      </c>
      <c r="F20" s="73">
        <v>0.25083102266378776</v>
      </c>
      <c r="G20" s="73"/>
      <c r="H20" s="74">
        <v>5</v>
      </c>
      <c r="J20" s="78" t="s">
        <v>959</v>
      </c>
      <c r="K20" s="79">
        <v>0.73699999999999999</v>
      </c>
    </row>
    <row r="21" spans="2:11" ht="20.100000000000001" customHeight="1" x14ac:dyDescent="0.3">
      <c r="B21" s="69" t="s">
        <v>960</v>
      </c>
      <c r="C21" s="70">
        <v>0.7198465119639228</v>
      </c>
      <c r="D21" s="77" t="s">
        <v>961</v>
      </c>
      <c r="E21" s="72">
        <f t="shared" si="0"/>
        <v>0.64200000000000002</v>
      </c>
      <c r="F21" s="73">
        <v>0.50300823028136465</v>
      </c>
      <c r="G21" s="73" t="s">
        <v>1486</v>
      </c>
      <c r="H21" s="74"/>
      <c r="J21" s="78" t="s">
        <v>962</v>
      </c>
      <c r="K21" s="79">
        <v>0.76600000000000001</v>
      </c>
    </row>
    <row r="22" spans="2:11" ht="20.100000000000001" customHeight="1" x14ac:dyDescent="0.3">
      <c r="B22" s="69" t="s">
        <v>963</v>
      </c>
      <c r="C22" s="70">
        <v>0.67584931689441996</v>
      </c>
      <c r="D22" s="71" t="s">
        <v>964</v>
      </c>
      <c r="E22" s="72">
        <f t="shared" si="0"/>
        <v>0.73499999999999999</v>
      </c>
      <c r="F22" s="73">
        <v>0.45051584852030113</v>
      </c>
      <c r="G22" s="73"/>
      <c r="H22" s="74"/>
      <c r="J22" s="78" t="s">
        <v>965</v>
      </c>
      <c r="K22" s="79">
        <v>0.76200000000000001</v>
      </c>
    </row>
    <row r="23" spans="2:11" ht="20.100000000000001" customHeight="1" x14ac:dyDescent="0.3">
      <c r="B23" s="69" t="s">
        <v>966</v>
      </c>
      <c r="C23" s="70">
        <v>0.86300052029805074</v>
      </c>
      <c r="D23" s="71" t="s">
        <v>967</v>
      </c>
      <c r="E23" s="72">
        <f t="shared" si="0"/>
        <v>0.76200000000000001</v>
      </c>
      <c r="F23" s="73">
        <v>0.14611604673491499</v>
      </c>
      <c r="G23" s="73"/>
      <c r="H23" s="74">
        <v>9</v>
      </c>
      <c r="J23" s="78" t="s">
        <v>968</v>
      </c>
      <c r="K23" s="79">
        <v>0.68</v>
      </c>
    </row>
    <row r="24" spans="2:11" ht="20.100000000000001" customHeight="1" x14ac:dyDescent="0.3">
      <c r="B24" s="69" t="s">
        <v>969</v>
      </c>
      <c r="C24" s="70">
        <v>0.80998060191033816</v>
      </c>
      <c r="D24" s="71" t="s">
        <v>955</v>
      </c>
      <c r="E24" s="72">
        <f t="shared" si="0"/>
        <v>0.73799999999999999</v>
      </c>
      <c r="F24" s="73">
        <v>0.2642695333881882</v>
      </c>
      <c r="G24" s="73"/>
      <c r="H24" s="74"/>
      <c r="J24" s="78" t="s">
        <v>970</v>
      </c>
      <c r="K24" s="79">
        <v>0.76900000000000002</v>
      </c>
    </row>
    <row r="25" spans="2:11" ht="20.100000000000001" customHeight="1" x14ac:dyDescent="0.3">
      <c r="B25" s="69" t="s">
        <v>971</v>
      </c>
      <c r="C25" s="70">
        <v>0.67980847816919632</v>
      </c>
      <c r="D25" s="71" t="s">
        <v>946</v>
      </c>
      <c r="E25" s="72">
        <f t="shared" si="0"/>
        <v>0.67200000000000004</v>
      </c>
      <c r="F25" s="73">
        <v>0.65833852015485073</v>
      </c>
      <c r="G25" s="73" t="s">
        <v>1487</v>
      </c>
      <c r="H25" s="74"/>
      <c r="J25" s="78" t="s">
        <v>972</v>
      </c>
      <c r="K25" s="79">
        <v>0.72399999999999998</v>
      </c>
    </row>
    <row r="26" spans="2:11" ht="20.100000000000001" customHeight="1" x14ac:dyDescent="0.3">
      <c r="B26" s="69" t="s">
        <v>973</v>
      </c>
      <c r="C26" s="70">
        <v>0.70644426443022423</v>
      </c>
      <c r="D26" s="71" t="s">
        <v>974</v>
      </c>
      <c r="E26" s="72">
        <f t="shared" si="0"/>
        <v>0.64800000000000002</v>
      </c>
      <c r="F26" s="73">
        <v>0.58816224837543996</v>
      </c>
      <c r="G26" s="73"/>
      <c r="H26" s="74"/>
      <c r="J26" s="78" t="s">
        <v>975</v>
      </c>
      <c r="K26" s="79">
        <v>0.79600000000000004</v>
      </c>
    </row>
    <row r="27" spans="2:11" ht="20.100000000000001" customHeight="1" x14ac:dyDescent="0.3">
      <c r="B27" s="69" t="s">
        <v>976</v>
      </c>
      <c r="C27" s="70">
        <v>0.7276867115349035</v>
      </c>
      <c r="D27" s="71" t="s">
        <v>977</v>
      </c>
      <c r="E27" s="72">
        <f t="shared" si="0"/>
        <v>0.73699999999999999</v>
      </c>
      <c r="F27" s="73">
        <v>0.5347904070224837</v>
      </c>
      <c r="G27" s="73" t="s">
        <v>1486</v>
      </c>
      <c r="H27" s="74"/>
      <c r="J27" s="78" t="s">
        <v>978</v>
      </c>
      <c r="K27" s="79">
        <v>0.67200000000000004</v>
      </c>
    </row>
    <row r="28" spans="2:11" ht="20.100000000000001" customHeight="1" x14ac:dyDescent="0.3">
      <c r="B28" s="69" t="s">
        <v>979</v>
      </c>
      <c r="C28" s="70">
        <v>0.68575611522894586</v>
      </c>
      <c r="D28" s="77" t="s">
        <v>961</v>
      </c>
      <c r="E28" s="72">
        <f t="shared" si="0"/>
        <v>0.64200000000000002</v>
      </c>
      <c r="F28" s="73">
        <v>0.60317314674268729</v>
      </c>
      <c r="G28" s="73" t="s">
        <v>1486</v>
      </c>
      <c r="H28" s="74"/>
      <c r="J28" s="78" t="s">
        <v>980</v>
      </c>
      <c r="K28" s="79">
        <v>0.73399999999999999</v>
      </c>
    </row>
    <row r="29" spans="2:11" ht="20.100000000000001" customHeight="1" x14ac:dyDescent="0.3">
      <c r="B29" s="69" t="s">
        <v>981</v>
      </c>
      <c r="C29" s="70">
        <v>0.6855468337517332</v>
      </c>
      <c r="D29" s="71" t="s">
        <v>946</v>
      </c>
      <c r="E29" s="72">
        <f t="shared" si="0"/>
        <v>0.67200000000000004</v>
      </c>
      <c r="F29" s="73">
        <v>0.61994359277471778</v>
      </c>
      <c r="G29" s="73" t="s">
        <v>1487</v>
      </c>
      <c r="H29" s="74"/>
      <c r="J29" s="78" t="s">
        <v>982</v>
      </c>
      <c r="K29" s="79">
        <v>0.68200000000000005</v>
      </c>
    </row>
    <row r="30" spans="2:11" ht="20.100000000000001" customHeight="1" x14ac:dyDescent="0.3">
      <c r="B30" s="69" t="s">
        <v>983</v>
      </c>
      <c r="C30" s="70">
        <v>0.7607026531000094</v>
      </c>
      <c r="D30" s="71" t="s">
        <v>955</v>
      </c>
      <c r="E30" s="72">
        <f t="shared" si="0"/>
        <v>0.73799999999999999</v>
      </c>
      <c r="F30" s="73">
        <v>0.47541213169973684</v>
      </c>
      <c r="G30" s="73"/>
      <c r="H30" s="74"/>
      <c r="J30" s="78" t="s">
        <v>984</v>
      </c>
      <c r="K30" s="79">
        <v>0.73499999999999999</v>
      </c>
    </row>
    <row r="31" spans="2:11" ht="20.100000000000001" customHeight="1" x14ac:dyDescent="0.3">
      <c r="B31" s="69" t="s">
        <v>985</v>
      </c>
      <c r="C31" s="70">
        <v>0.81760742352298543</v>
      </c>
      <c r="D31" s="71" t="s">
        <v>920</v>
      </c>
      <c r="E31" s="72">
        <f t="shared" si="0"/>
        <v>0.76600000000000001</v>
      </c>
      <c r="F31" s="73">
        <v>0.43248058601179362</v>
      </c>
      <c r="G31" s="73"/>
      <c r="H31" s="74"/>
      <c r="J31" s="78" t="s">
        <v>986</v>
      </c>
      <c r="K31" s="79">
        <v>0.73699999999999999</v>
      </c>
    </row>
    <row r="32" spans="2:11" ht="20.100000000000001" customHeight="1" thickBot="1" x14ac:dyDescent="0.35">
      <c r="B32" s="69" t="s">
        <v>987</v>
      </c>
      <c r="C32" s="70">
        <v>0.7406070795012083</v>
      </c>
      <c r="D32" s="71" t="s">
        <v>967</v>
      </c>
      <c r="E32" s="72">
        <f t="shared" si="0"/>
        <v>0.76200000000000001</v>
      </c>
      <c r="F32" s="73">
        <v>0.49263858218909007</v>
      </c>
      <c r="G32" s="73"/>
      <c r="H32" s="74"/>
      <c r="J32" s="80" t="s">
        <v>988</v>
      </c>
      <c r="K32" s="81">
        <v>0.73799999999999999</v>
      </c>
    </row>
    <row r="33" spans="2:10" ht="20.100000000000001" customHeight="1" x14ac:dyDescent="0.3">
      <c r="B33" s="69" t="s">
        <v>989</v>
      </c>
      <c r="C33" s="70">
        <v>0.73441946664847069</v>
      </c>
      <c r="D33" s="77" t="s">
        <v>911</v>
      </c>
      <c r="E33" s="72">
        <f t="shared" si="0"/>
        <v>0.67400000000000004</v>
      </c>
      <c r="F33" s="73">
        <v>0.62899932362062005</v>
      </c>
      <c r="G33" s="73" t="s">
        <v>1487</v>
      </c>
      <c r="H33" s="74"/>
      <c r="J33" s="82"/>
    </row>
    <row r="34" spans="2:10" ht="20.100000000000001" customHeight="1" x14ac:dyDescent="0.3">
      <c r="B34" s="69" t="s">
        <v>990</v>
      </c>
      <c r="C34" s="70">
        <v>0.6434606001231773</v>
      </c>
      <c r="D34" s="71" t="s">
        <v>974</v>
      </c>
      <c r="E34" s="72">
        <f t="shared" si="0"/>
        <v>0.64800000000000002</v>
      </c>
      <c r="F34" s="73">
        <v>0.65980097593417797</v>
      </c>
      <c r="G34" s="73"/>
      <c r="H34" s="74">
        <v>4</v>
      </c>
      <c r="J34" s="82"/>
    </row>
    <row r="35" spans="2:10" ht="20.100000000000001" customHeight="1" x14ac:dyDescent="0.3">
      <c r="B35" s="69" t="s">
        <v>991</v>
      </c>
      <c r="C35" s="70">
        <v>0.79966684103907015</v>
      </c>
      <c r="D35" s="71" t="s">
        <v>940</v>
      </c>
      <c r="E35" s="72">
        <f t="shared" si="0"/>
        <v>0.73399999999999999</v>
      </c>
      <c r="F35" s="73">
        <v>0.35116271490207374</v>
      </c>
      <c r="G35" s="73"/>
      <c r="H35" s="74" t="s">
        <v>992</v>
      </c>
      <c r="J35" s="82"/>
    </row>
    <row r="36" spans="2:10" ht="20.100000000000001" customHeight="1" x14ac:dyDescent="0.3">
      <c r="B36" s="69" t="s">
        <v>993</v>
      </c>
      <c r="C36" s="70">
        <v>0.76354467421096206</v>
      </c>
      <c r="D36" s="71" t="s">
        <v>967</v>
      </c>
      <c r="E36" s="72">
        <f t="shared" si="0"/>
        <v>0.76200000000000001</v>
      </c>
      <c r="F36" s="73">
        <v>0.47613809837125354</v>
      </c>
      <c r="G36" s="73" t="s">
        <v>1488</v>
      </c>
      <c r="H36" s="74">
        <v>5</v>
      </c>
      <c r="J36" s="82"/>
    </row>
    <row r="37" spans="2:10" ht="20.100000000000001" customHeight="1" x14ac:dyDescent="0.3">
      <c r="B37" s="69" t="s">
        <v>994</v>
      </c>
      <c r="C37" s="70">
        <v>0.65216070789480329</v>
      </c>
      <c r="D37" s="77" t="s">
        <v>961</v>
      </c>
      <c r="E37" s="72">
        <f t="shared" si="0"/>
        <v>0.64200000000000002</v>
      </c>
      <c r="F37" s="73">
        <v>0.64231932439590467</v>
      </c>
      <c r="G37" s="73" t="s">
        <v>1486</v>
      </c>
      <c r="H37" s="74"/>
      <c r="J37" s="82"/>
    </row>
    <row r="38" spans="2:10" ht="20.100000000000001" customHeight="1" x14ac:dyDescent="0.3">
      <c r="B38" s="69" t="s">
        <v>995</v>
      </c>
      <c r="C38" s="70">
        <v>0.67257221484365237</v>
      </c>
      <c r="D38" s="77" t="s">
        <v>996</v>
      </c>
      <c r="E38" s="72">
        <f t="shared" si="0"/>
        <v>0.68300000000000005</v>
      </c>
      <c r="F38" s="73">
        <v>0.78023818914729071</v>
      </c>
      <c r="G38" s="73" t="s">
        <v>1488</v>
      </c>
      <c r="H38" s="74">
        <v>11</v>
      </c>
      <c r="J38" s="82"/>
    </row>
    <row r="39" spans="2:10" ht="20.100000000000001" customHeight="1" x14ac:dyDescent="0.3">
      <c r="B39" s="69" t="s">
        <v>997</v>
      </c>
      <c r="C39" s="70">
        <v>0.71563713363672021</v>
      </c>
      <c r="D39" s="77" t="s">
        <v>926</v>
      </c>
      <c r="E39" s="72">
        <f t="shared" si="0"/>
        <v>0.66400000000000003</v>
      </c>
      <c r="F39" s="73">
        <v>0.69223689109922271</v>
      </c>
      <c r="G39" s="73" t="s">
        <v>1486</v>
      </c>
      <c r="H39" s="74"/>
      <c r="J39" s="82"/>
    </row>
    <row r="40" spans="2:10" ht="20.100000000000001" customHeight="1" x14ac:dyDescent="0.3">
      <c r="B40" s="69" t="s">
        <v>998</v>
      </c>
      <c r="C40" s="70">
        <v>0.69319057559556496</v>
      </c>
      <c r="D40" s="77" t="s">
        <v>961</v>
      </c>
      <c r="E40" s="72">
        <f t="shared" si="0"/>
        <v>0.64200000000000002</v>
      </c>
      <c r="F40" s="73">
        <v>0.53678193178716072</v>
      </c>
      <c r="G40" s="73" t="s">
        <v>1486</v>
      </c>
      <c r="H40" s="74" t="s">
        <v>949</v>
      </c>
      <c r="J40" s="82"/>
    </row>
    <row r="41" spans="2:10" ht="20.100000000000001" customHeight="1" x14ac:dyDescent="0.3">
      <c r="B41" s="69" t="s">
        <v>999</v>
      </c>
      <c r="C41" s="70">
        <v>0.77192988626766756</v>
      </c>
      <c r="D41" s="71" t="s">
        <v>967</v>
      </c>
      <c r="E41" s="72">
        <f t="shared" si="0"/>
        <v>0.76200000000000001</v>
      </c>
      <c r="F41" s="73">
        <v>0.5079793465117125</v>
      </c>
      <c r="G41" s="73" t="s">
        <v>1488</v>
      </c>
      <c r="H41" s="74" t="s">
        <v>992</v>
      </c>
      <c r="J41" s="82"/>
    </row>
    <row r="42" spans="2:10" ht="20.100000000000001" customHeight="1" x14ac:dyDescent="0.3">
      <c r="B42" s="69" t="s">
        <v>1000</v>
      </c>
      <c r="C42" s="70">
        <v>0.80285287369515956</v>
      </c>
      <c r="D42" s="71" t="s">
        <v>1001</v>
      </c>
      <c r="E42" s="72">
        <f t="shared" si="0"/>
        <v>0.72399999999999998</v>
      </c>
      <c r="F42" s="73">
        <v>0.38363150218431963</v>
      </c>
      <c r="G42" s="73"/>
      <c r="H42" s="74"/>
      <c r="J42" s="82"/>
    </row>
    <row r="43" spans="2:10" ht="20.100000000000001" customHeight="1" x14ac:dyDescent="0.3">
      <c r="B43" s="69" t="s">
        <v>1002</v>
      </c>
      <c r="C43" s="70">
        <v>0.76928756147343025</v>
      </c>
      <c r="D43" s="71" t="s">
        <v>914</v>
      </c>
      <c r="E43" s="72">
        <f t="shared" si="0"/>
        <v>0.73699999999999999</v>
      </c>
      <c r="F43" s="73">
        <v>0.42226198510093604</v>
      </c>
      <c r="G43" s="73"/>
      <c r="H43" s="74">
        <v>9</v>
      </c>
      <c r="J43" s="82"/>
    </row>
    <row r="44" spans="2:10" ht="20.100000000000001" customHeight="1" x14ac:dyDescent="0.3">
      <c r="B44" s="69" t="s">
        <v>1003</v>
      </c>
      <c r="C44" s="70">
        <v>0.66100000000000003</v>
      </c>
      <c r="D44" s="77" t="s">
        <v>937</v>
      </c>
      <c r="E44" s="72">
        <f t="shared" si="0"/>
        <v>0.68300000000000005</v>
      </c>
      <c r="F44" s="73">
        <v>0.63180000000000003</v>
      </c>
      <c r="G44" s="73"/>
      <c r="H44" s="74"/>
      <c r="J44" s="82"/>
    </row>
    <row r="45" spans="2:10" ht="20.100000000000001" customHeight="1" x14ac:dyDescent="0.3">
      <c r="B45" s="69" t="s">
        <v>1004</v>
      </c>
      <c r="C45" s="70">
        <v>0.66583431372531654</v>
      </c>
      <c r="D45" s="71" t="s">
        <v>967</v>
      </c>
      <c r="E45" s="72">
        <f t="shared" si="0"/>
        <v>0.76200000000000001</v>
      </c>
      <c r="F45" s="73">
        <v>0.6736725820527093</v>
      </c>
      <c r="G45" s="73" t="s">
        <v>1488</v>
      </c>
      <c r="H45" s="74"/>
      <c r="J45" s="82"/>
    </row>
    <row r="46" spans="2:10" ht="20.100000000000001" customHeight="1" x14ac:dyDescent="0.3">
      <c r="B46" s="69" t="s">
        <v>1005</v>
      </c>
      <c r="C46" s="70">
        <v>0.82768858329137607</v>
      </c>
      <c r="D46" s="71" t="s">
        <v>958</v>
      </c>
      <c r="E46" s="72">
        <f t="shared" si="0"/>
        <v>0.79600000000000004</v>
      </c>
      <c r="F46" s="73">
        <v>0.23826815833718257</v>
      </c>
      <c r="G46" s="73"/>
      <c r="H46" s="74"/>
      <c r="J46" s="82"/>
    </row>
    <row r="47" spans="2:10" ht="20.100000000000001" customHeight="1" x14ac:dyDescent="0.3">
      <c r="B47" s="69" t="s">
        <v>1006</v>
      </c>
      <c r="C47" s="70">
        <v>0.75464981166639078</v>
      </c>
      <c r="D47" s="71" t="s">
        <v>1001</v>
      </c>
      <c r="E47" s="72">
        <f t="shared" si="0"/>
        <v>0.72399999999999998</v>
      </c>
      <c r="F47" s="73">
        <v>0.41471952294408987</v>
      </c>
      <c r="G47" s="73"/>
      <c r="H47" s="74">
        <v>2</v>
      </c>
      <c r="J47" s="82"/>
    </row>
    <row r="48" spans="2:10" ht="20.100000000000001" customHeight="1" x14ac:dyDescent="0.3">
      <c r="B48" s="69" t="s">
        <v>1007</v>
      </c>
      <c r="C48" s="70">
        <v>0.79236107716535931</v>
      </c>
      <c r="D48" s="77" t="s">
        <v>923</v>
      </c>
      <c r="E48" s="72">
        <f t="shared" si="0"/>
        <v>0.748</v>
      </c>
      <c r="F48" s="73">
        <v>0.53795685726631148</v>
      </c>
      <c r="G48" s="73" t="s">
        <v>1488</v>
      </c>
      <c r="H48" s="74">
        <v>5</v>
      </c>
      <c r="J48" s="82"/>
    </row>
    <row r="49" spans="2:10" ht="20.100000000000001" customHeight="1" x14ac:dyDescent="0.3">
      <c r="B49" s="69" t="s">
        <v>1008</v>
      </c>
      <c r="C49" s="70">
        <v>0.78626646306464398</v>
      </c>
      <c r="D49" s="77" t="s">
        <v>1009</v>
      </c>
      <c r="E49" s="72">
        <f t="shared" si="0"/>
        <v>0.80900000000000005</v>
      </c>
      <c r="F49" s="73">
        <v>0.28228255429286969</v>
      </c>
      <c r="G49" s="73"/>
      <c r="H49" s="74" t="s">
        <v>1010</v>
      </c>
      <c r="J49" s="82"/>
    </row>
    <row r="50" spans="2:10" ht="20.100000000000001" customHeight="1" x14ac:dyDescent="0.3">
      <c r="B50" s="69" t="s">
        <v>1011</v>
      </c>
      <c r="C50" s="70">
        <v>0.77841043521939335</v>
      </c>
      <c r="D50" s="77" t="s">
        <v>1009</v>
      </c>
      <c r="E50" s="72">
        <f t="shared" si="0"/>
        <v>0.80900000000000005</v>
      </c>
      <c r="F50" s="73">
        <v>0.30834066663382032</v>
      </c>
      <c r="G50" s="73"/>
      <c r="H50" s="74"/>
      <c r="J50" s="82"/>
    </row>
    <row r="51" spans="2:10" ht="20.100000000000001" customHeight="1" x14ac:dyDescent="0.3">
      <c r="B51" s="69" t="s">
        <v>1012</v>
      </c>
      <c r="C51" s="70">
        <v>0.78166449647530378</v>
      </c>
      <c r="D51" s="71" t="s">
        <v>958</v>
      </c>
      <c r="E51" s="72">
        <f t="shared" si="0"/>
        <v>0.79600000000000004</v>
      </c>
      <c r="F51" s="73">
        <v>0.37886726742427645</v>
      </c>
      <c r="G51" s="73"/>
      <c r="H51" s="74"/>
      <c r="J51" s="82"/>
    </row>
    <row r="52" spans="2:10" ht="20.100000000000001" customHeight="1" x14ac:dyDescent="0.3">
      <c r="B52" s="69" t="s">
        <v>1013</v>
      </c>
      <c r="C52" s="70">
        <v>0.72105228877714267</v>
      </c>
      <c r="D52" s="77" t="s">
        <v>952</v>
      </c>
      <c r="E52" s="72">
        <f t="shared" si="0"/>
        <v>0.72599999999999998</v>
      </c>
      <c r="F52" s="73">
        <v>0.47178000116550123</v>
      </c>
      <c r="G52" s="73"/>
      <c r="H52" s="74"/>
      <c r="J52" s="82"/>
    </row>
    <row r="53" spans="2:10" ht="20.100000000000001" customHeight="1" x14ac:dyDescent="0.3">
      <c r="B53" s="69" t="s">
        <v>1014</v>
      </c>
      <c r="C53" s="70">
        <v>0.77944142689758267</v>
      </c>
      <c r="D53" s="71" t="s">
        <v>940</v>
      </c>
      <c r="E53" s="72">
        <f t="shared" si="0"/>
        <v>0.73399999999999999</v>
      </c>
      <c r="F53" s="73">
        <v>0.31882824720695868</v>
      </c>
      <c r="G53" s="73"/>
      <c r="H53" s="74">
        <v>5</v>
      </c>
      <c r="J53" s="82"/>
    </row>
    <row r="54" spans="2:10" ht="20.100000000000001" customHeight="1" x14ac:dyDescent="0.3">
      <c r="B54" s="69" t="s">
        <v>1015</v>
      </c>
      <c r="C54" s="70">
        <v>0.74280365856596842</v>
      </c>
      <c r="D54" s="77" t="s">
        <v>996</v>
      </c>
      <c r="E54" s="72">
        <f t="shared" si="0"/>
        <v>0.68300000000000005</v>
      </c>
      <c r="F54" s="73">
        <v>0.6376989763845653</v>
      </c>
      <c r="G54" s="73" t="s">
        <v>1488</v>
      </c>
      <c r="H54" s="74"/>
      <c r="J54" s="82"/>
    </row>
    <row r="55" spans="2:10" ht="20.100000000000001" customHeight="1" x14ac:dyDescent="0.3">
      <c r="B55" s="69" t="s">
        <v>1016</v>
      </c>
      <c r="C55" s="70">
        <v>0.72654758968829192</v>
      </c>
      <c r="D55" s="71" t="s">
        <v>955</v>
      </c>
      <c r="E55" s="72">
        <f t="shared" si="0"/>
        <v>0.73799999999999999</v>
      </c>
      <c r="F55" s="73">
        <v>0.47819117580971182</v>
      </c>
      <c r="G55" s="73"/>
      <c r="H55" s="74"/>
      <c r="J55" s="82"/>
    </row>
    <row r="56" spans="2:10" ht="20.100000000000001" customHeight="1" x14ac:dyDescent="0.3">
      <c r="B56" s="69" t="s">
        <v>1017</v>
      </c>
      <c r="C56" s="70">
        <v>0.70295216293965179</v>
      </c>
      <c r="D56" s="71" t="s">
        <v>977</v>
      </c>
      <c r="E56" s="72">
        <f t="shared" si="0"/>
        <v>0.73699999999999999</v>
      </c>
      <c r="F56" s="73">
        <v>0.58076310623034522</v>
      </c>
      <c r="G56" s="73" t="s">
        <v>1486</v>
      </c>
      <c r="H56" s="74"/>
      <c r="J56" s="82"/>
    </row>
    <row r="57" spans="2:10" ht="20.100000000000001" customHeight="1" x14ac:dyDescent="0.3">
      <c r="B57" s="69" t="s">
        <v>1018</v>
      </c>
      <c r="C57" s="70">
        <v>0.74769359938934321</v>
      </c>
      <c r="D57" s="71" t="s">
        <v>1019</v>
      </c>
      <c r="E57" s="72">
        <f t="shared" si="0"/>
        <v>0.72499999999999998</v>
      </c>
      <c r="F57" s="73">
        <v>0.51867551340943163</v>
      </c>
      <c r="G57" s="73" t="s">
        <v>1489</v>
      </c>
      <c r="H57" s="74"/>
      <c r="J57" s="82"/>
    </row>
    <row r="58" spans="2:10" ht="20.100000000000001" customHeight="1" x14ac:dyDescent="0.3">
      <c r="B58" s="69" t="s">
        <v>1020</v>
      </c>
      <c r="C58" s="70">
        <v>0.82934244522563783</v>
      </c>
      <c r="D58" s="71" t="s">
        <v>920</v>
      </c>
      <c r="E58" s="72">
        <f t="shared" si="0"/>
        <v>0.76600000000000001</v>
      </c>
      <c r="F58" s="73">
        <v>0.38787761220295403</v>
      </c>
      <c r="G58" s="73"/>
      <c r="H58" s="74"/>
      <c r="J58" s="82"/>
    </row>
    <row r="59" spans="2:10" ht="20.100000000000001" customHeight="1" x14ac:dyDescent="0.3">
      <c r="B59" s="69" t="s">
        <v>1021</v>
      </c>
      <c r="C59" s="70">
        <v>0.68970491114518451</v>
      </c>
      <c r="D59" s="77" t="s">
        <v>996</v>
      </c>
      <c r="E59" s="72">
        <f t="shared" si="0"/>
        <v>0.68300000000000005</v>
      </c>
      <c r="F59" s="73">
        <v>0.66544553004774021</v>
      </c>
      <c r="G59" s="73" t="s">
        <v>1488</v>
      </c>
      <c r="H59" s="74">
        <v>2</v>
      </c>
      <c r="J59" s="82"/>
    </row>
    <row r="60" spans="2:10" ht="20.100000000000001" customHeight="1" x14ac:dyDescent="0.3">
      <c r="B60" s="69" t="s">
        <v>1022</v>
      </c>
      <c r="C60" s="70">
        <v>0.72593741648796095</v>
      </c>
      <c r="D60" s="71" t="s">
        <v>940</v>
      </c>
      <c r="E60" s="72">
        <f t="shared" si="0"/>
        <v>0.73399999999999999</v>
      </c>
      <c r="F60" s="73">
        <v>0.53970621962308507</v>
      </c>
      <c r="G60" s="73"/>
      <c r="H60" s="74">
        <v>3</v>
      </c>
      <c r="J60" s="82"/>
    </row>
    <row r="61" spans="2:10" ht="20.100000000000001" customHeight="1" x14ac:dyDescent="0.3">
      <c r="B61" s="69" t="s">
        <v>1023</v>
      </c>
      <c r="C61" s="70">
        <v>0.67864652610527931</v>
      </c>
      <c r="D61" s="77" t="s">
        <v>961</v>
      </c>
      <c r="E61" s="72">
        <f t="shared" si="0"/>
        <v>0.64200000000000002</v>
      </c>
      <c r="F61" s="73">
        <v>0.58324476698693517</v>
      </c>
      <c r="G61" s="73" t="s">
        <v>1486</v>
      </c>
      <c r="H61" s="74"/>
      <c r="J61" s="82"/>
    </row>
    <row r="62" spans="2:10" ht="20.100000000000001" customHeight="1" x14ac:dyDescent="0.3">
      <c r="B62" s="69" t="s">
        <v>1024</v>
      </c>
      <c r="C62" s="70">
        <v>0.69346164274824107</v>
      </c>
      <c r="D62" s="77" t="s">
        <v>911</v>
      </c>
      <c r="E62" s="72">
        <f t="shared" si="0"/>
        <v>0.67400000000000004</v>
      </c>
      <c r="F62" s="73">
        <v>0.60611743673761787</v>
      </c>
      <c r="G62" s="73" t="s">
        <v>1487</v>
      </c>
      <c r="H62" s="74"/>
      <c r="J62" s="82"/>
    </row>
    <row r="63" spans="2:10" ht="20.100000000000001" customHeight="1" x14ac:dyDescent="0.3">
      <c r="B63" s="69" t="s">
        <v>1025</v>
      </c>
      <c r="C63" s="70">
        <v>0.71624656253191954</v>
      </c>
      <c r="D63" s="71" t="s">
        <v>1026</v>
      </c>
      <c r="E63" s="72">
        <f t="shared" si="0"/>
        <v>0.68200000000000005</v>
      </c>
      <c r="F63" s="73">
        <v>0.64830080396648848</v>
      </c>
      <c r="G63" s="73" t="s">
        <v>1487</v>
      </c>
      <c r="H63" s="74"/>
      <c r="J63" s="82"/>
    </row>
    <row r="64" spans="2:10" ht="20.100000000000001" customHeight="1" x14ac:dyDescent="0.3">
      <c r="B64" s="69" t="s">
        <v>1027</v>
      </c>
      <c r="C64" s="70">
        <v>0.72152260348836639</v>
      </c>
      <c r="D64" s="77" t="s">
        <v>1028</v>
      </c>
      <c r="E64" s="72">
        <f t="shared" si="0"/>
        <v>0.66500000000000004</v>
      </c>
      <c r="F64" s="73">
        <v>0.54671856484689119</v>
      </c>
      <c r="G64" s="73" t="s">
        <v>1486</v>
      </c>
      <c r="H64" s="74"/>
      <c r="J64" s="82"/>
    </row>
    <row r="65" spans="2:10" ht="20.100000000000001" customHeight="1" x14ac:dyDescent="0.3">
      <c r="B65" s="69" t="s">
        <v>1029</v>
      </c>
      <c r="C65" s="70">
        <v>0.73625849854661474</v>
      </c>
      <c r="D65" s="71" t="s">
        <v>943</v>
      </c>
      <c r="E65" s="72">
        <f t="shared" si="0"/>
        <v>0.76400000000000001</v>
      </c>
      <c r="F65" s="73">
        <v>0.33942362991540975</v>
      </c>
      <c r="G65" s="73"/>
      <c r="H65" s="74"/>
      <c r="J65" s="82"/>
    </row>
    <row r="66" spans="2:10" ht="20.100000000000001" customHeight="1" x14ac:dyDescent="0.3">
      <c r="B66" s="69" t="s">
        <v>1030</v>
      </c>
      <c r="C66" s="70">
        <v>0.70459814321415526</v>
      </c>
      <c r="D66" s="71" t="s">
        <v>914</v>
      </c>
      <c r="E66" s="72">
        <f t="shared" si="0"/>
        <v>0.73699999999999999</v>
      </c>
      <c r="F66" s="73">
        <v>0.57047353843597737</v>
      </c>
      <c r="G66" s="73"/>
      <c r="H66" s="74"/>
      <c r="J66" s="82"/>
    </row>
    <row r="67" spans="2:10" ht="20.100000000000001" customHeight="1" x14ac:dyDescent="0.3">
      <c r="B67" s="69" t="s">
        <v>1031</v>
      </c>
      <c r="C67" s="70">
        <v>0.73936246271246353</v>
      </c>
      <c r="D67" s="71" t="s">
        <v>1019</v>
      </c>
      <c r="E67" s="72">
        <f t="shared" si="0"/>
        <v>0.72499999999999998</v>
      </c>
      <c r="F67" s="73">
        <v>0.56967436006518124</v>
      </c>
      <c r="G67" s="73" t="s">
        <v>1488</v>
      </c>
      <c r="H67" s="74"/>
      <c r="J67" s="82"/>
    </row>
    <row r="68" spans="2:10" ht="20.100000000000001" customHeight="1" x14ac:dyDescent="0.3">
      <c r="B68" s="69" t="s">
        <v>1032</v>
      </c>
      <c r="C68" s="70">
        <v>0.75019513698248486</v>
      </c>
      <c r="D68" s="71" t="s">
        <v>934</v>
      </c>
      <c r="E68" s="72">
        <f t="shared" ref="E68:E131" si="1">VLOOKUP(D68,$J$5:$K$32,2,0)</f>
        <v>0.68799999999999994</v>
      </c>
      <c r="F68" s="73">
        <v>0.64596120610206398</v>
      </c>
      <c r="G68" s="73" t="s">
        <v>1488</v>
      </c>
      <c r="H68" s="74">
        <v>3</v>
      </c>
      <c r="J68" s="82"/>
    </row>
    <row r="69" spans="2:10" ht="20.100000000000001" customHeight="1" x14ac:dyDescent="0.3">
      <c r="B69" s="69" t="s">
        <v>1033</v>
      </c>
      <c r="C69" s="70">
        <v>0.71344612976062483</v>
      </c>
      <c r="D69" s="77" t="s">
        <v>961</v>
      </c>
      <c r="E69" s="72">
        <f t="shared" si="1"/>
        <v>0.64200000000000002</v>
      </c>
      <c r="F69" s="73">
        <v>0.51633666608411366</v>
      </c>
      <c r="G69" s="73" t="s">
        <v>1486</v>
      </c>
      <c r="H69" s="74"/>
      <c r="J69" s="82"/>
    </row>
    <row r="70" spans="2:10" ht="20.100000000000001" customHeight="1" x14ac:dyDescent="0.3">
      <c r="B70" s="69" t="s">
        <v>1034</v>
      </c>
      <c r="C70" s="70">
        <v>0.81196535258559521</v>
      </c>
      <c r="D70" s="71" t="s">
        <v>931</v>
      </c>
      <c r="E70" s="72">
        <f t="shared" si="1"/>
        <v>0.76900000000000002</v>
      </c>
      <c r="F70" s="73">
        <v>0.28424717748188288</v>
      </c>
      <c r="G70" s="73"/>
      <c r="H70" s="74"/>
      <c r="J70" s="82"/>
    </row>
    <row r="71" spans="2:10" ht="20.100000000000001" customHeight="1" x14ac:dyDescent="0.3">
      <c r="B71" s="69" t="s">
        <v>1035</v>
      </c>
      <c r="C71" s="70">
        <v>0.69936806870481849</v>
      </c>
      <c r="D71" s="77" t="s">
        <v>1036</v>
      </c>
      <c r="E71" s="72">
        <f t="shared" si="1"/>
        <v>0.71699999999999997</v>
      </c>
      <c r="F71" s="73">
        <v>0.5018100492999702</v>
      </c>
      <c r="G71" s="73"/>
      <c r="H71" s="74"/>
      <c r="J71" s="82"/>
    </row>
    <row r="72" spans="2:10" ht="20.100000000000001" customHeight="1" x14ac:dyDescent="0.3">
      <c r="B72" s="69" t="s">
        <v>1037</v>
      </c>
      <c r="C72" s="70">
        <v>0.75353895265398574</v>
      </c>
      <c r="D72" s="77" t="s">
        <v>952</v>
      </c>
      <c r="E72" s="72">
        <f t="shared" si="1"/>
        <v>0.72599999999999998</v>
      </c>
      <c r="F72" s="73">
        <v>0.33896885637085172</v>
      </c>
      <c r="G72" s="73"/>
      <c r="H72" s="74"/>
      <c r="J72" s="82"/>
    </row>
    <row r="73" spans="2:10" ht="20.100000000000001" customHeight="1" x14ac:dyDescent="0.3">
      <c r="B73" s="69" t="s">
        <v>1038</v>
      </c>
      <c r="C73" s="70">
        <v>0.75071936409708151</v>
      </c>
      <c r="D73" s="77" t="s">
        <v>923</v>
      </c>
      <c r="E73" s="72">
        <f t="shared" si="1"/>
        <v>0.748</v>
      </c>
      <c r="F73" s="73">
        <v>0.61897365417784</v>
      </c>
      <c r="G73" s="73" t="s">
        <v>1488</v>
      </c>
      <c r="H73" s="74"/>
      <c r="J73" s="82"/>
    </row>
    <row r="74" spans="2:10" ht="20.100000000000001" customHeight="1" x14ac:dyDescent="0.3">
      <c r="B74" s="69" t="s">
        <v>1039</v>
      </c>
      <c r="C74" s="70">
        <v>0.80560960438672691</v>
      </c>
      <c r="D74" s="71" t="s">
        <v>967</v>
      </c>
      <c r="E74" s="72">
        <f t="shared" si="1"/>
        <v>0.76200000000000001</v>
      </c>
      <c r="F74" s="73">
        <v>0.43490138666790013</v>
      </c>
      <c r="G74" s="73"/>
      <c r="H74" s="74"/>
      <c r="J74" s="82"/>
    </row>
    <row r="75" spans="2:10" ht="20.100000000000001" customHeight="1" x14ac:dyDescent="0.3">
      <c r="B75" s="69" t="s">
        <v>1040</v>
      </c>
      <c r="C75" s="70">
        <v>0.77770426285425642</v>
      </c>
      <c r="D75" s="71" t="s">
        <v>964</v>
      </c>
      <c r="E75" s="72">
        <f t="shared" si="1"/>
        <v>0.73499999999999999</v>
      </c>
      <c r="F75" s="73">
        <v>0.2926969285253293</v>
      </c>
      <c r="G75" s="73"/>
      <c r="H75" s="74"/>
      <c r="J75" s="82"/>
    </row>
    <row r="76" spans="2:10" ht="20.100000000000001" customHeight="1" x14ac:dyDescent="0.3">
      <c r="B76" s="69" t="s">
        <v>1041</v>
      </c>
      <c r="C76" s="70">
        <v>0.75002749095467625</v>
      </c>
      <c r="D76" s="77" t="s">
        <v>996</v>
      </c>
      <c r="E76" s="72">
        <f t="shared" si="1"/>
        <v>0.68300000000000005</v>
      </c>
      <c r="F76" s="73">
        <v>0.53800196048763738</v>
      </c>
      <c r="G76" s="73" t="s">
        <v>1488</v>
      </c>
      <c r="H76" s="74">
        <v>4</v>
      </c>
      <c r="J76" s="82"/>
    </row>
    <row r="77" spans="2:10" ht="20.100000000000001" customHeight="1" x14ac:dyDescent="0.3">
      <c r="B77" s="69" t="s">
        <v>1042</v>
      </c>
      <c r="C77" s="70">
        <v>0.73599999999999999</v>
      </c>
      <c r="D77" s="77" t="s">
        <v>937</v>
      </c>
      <c r="E77" s="72">
        <f t="shared" si="1"/>
        <v>0.68300000000000005</v>
      </c>
      <c r="F77" s="73">
        <v>0.56200000000000006</v>
      </c>
      <c r="G77" s="73"/>
      <c r="H77" s="74"/>
      <c r="J77" s="82"/>
    </row>
    <row r="78" spans="2:10" ht="20.100000000000001" customHeight="1" x14ac:dyDescent="0.3">
      <c r="B78" s="69" t="s">
        <v>1043</v>
      </c>
      <c r="C78" s="70">
        <v>0.67241313489436894</v>
      </c>
      <c r="D78" s="71" t="s">
        <v>977</v>
      </c>
      <c r="E78" s="72">
        <f t="shared" si="1"/>
        <v>0.73699999999999999</v>
      </c>
      <c r="F78" s="73">
        <v>0.53850509357943965</v>
      </c>
      <c r="G78" s="73" t="s">
        <v>1486</v>
      </c>
      <c r="H78" s="74"/>
      <c r="J78" s="82"/>
    </row>
    <row r="79" spans="2:10" ht="20.100000000000001" customHeight="1" x14ac:dyDescent="0.3">
      <c r="B79" s="69" t="s">
        <v>1044</v>
      </c>
      <c r="C79" s="70">
        <v>0.78330662450734345</v>
      </c>
      <c r="D79" s="77" t="s">
        <v>923</v>
      </c>
      <c r="E79" s="72">
        <f t="shared" si="1"/>
        <v>0.748</v>
      </c>
      <c r="F79" s="73">
        <v>0.53507551919828622</v>
      </c>
      <c r="G79" s="73" t="s">
        <v>1488</v>
      </c>
      <c r="H79" s="74"/>
      <c r="J79" s="82"/>
    </row>
    <row r="80" spans="2:10" ht="20.100000000000001" customHeight="1" x14ac:dyDescent="0.3">
      <c r="B80" s="69" t="s">
        <v>1045</v>
      </c>
      <c r="C80" s="70">
        <v>0.73430397828447136</v>
      </c>
      <c r="D80" s="77" t="s">
        <v>911</v>
      </c>
      <c r="E80" s="72">
        <f t="shared" si="1"/>
        <v>0.67400000000000004</v>
      </c>
      <c r="F80" s="73">
        <v>0.42461281088400293</v>
      </c>
      <c r="G80" s="73" t="s">
        <v>1487</v>
      </c>
      <c r="H80" s="74"/>
      <c r="J80" s="82"/>
    </row>
    <row r="81" spans="2:10" ht="20.100000000000001" customHeight="1" x14ac:dyDescent="0.3">
      <c r="B81" s="69" t="s">
        <v>1046</v>
      </c>
      <c r="C81" s="70">
        <v>0.72484939201471965</v>
      </c>
      <c r="D81" s="77" t="s">
        <v>1036</v>
      </c>
      <c r="E81" s="72">
        <f t="shared" si="1"/>
        <v>0.71699999999999997</v>
      </c>
      <c r="F81" s="73">
        <v>0.47309259085894517</v>
      </c>
      <c r="G81" s="73"/>
      <c r="H81" s="74"/>
      <c r="J81" s="82"/>
    </row>
    <row r="82" spans="2:10" ht="20.100000000000001" customHeight="1" x14ac:dyDescent="0.3">
      <c r="B82" s="69" t="s">
        <v>1047</v>
      </c>
      <c r="C82" s="70">
        <v>0.67628547362238312</v>
      </c>
      <c r="D82" s="71" t="s">
        <v>946</v>
      </c>
      <c r="E82" s="72">
        <f t="shared" si="1"/>
        <v>0.67200000000000004</v>
      </c>
      <c r="F82" s="73">
        <v>0.64228544043565172</v>
      </c>
      <c r="G82" s="73" t="s">
        <v>1487</v>
      </c>
      <c r="H82" s="74">
        <v>4</v>
      </c>
      <c r="J82" s="82"/>
    </row>
    <row r="83" spans="2:10" ht="20.100000000000001" customHeight="1" x14ac:dyDescent="0.3">
      <c r="B83" s="69" t="s">
        <v>1048</v>
      </c>
      <c r="C83" s="70">
        <v>0.73958177405731351</v>
      </c>
      <c r="D83" s="71" t="s">
        <v>964</v>
      </c>
      <c r="E83" s="72">
        <f t="shared" si="1"/>
        <v>0.73499999999999999</v>
      </c>
      <c r="F83" s="73">
        <v>0.27546098637680461</v>
      </c>
      <c r="G83" s="73"/>
      <c r="H83" s="74">
        <v>11</v>
      </c>
      <c r="J83" s="82"/>
    </row>
    <row r="84" spans="2:10" ht="20.100000000000001" customHeight="1" x14ac:dyDescent="0.3">
      <c r="B84" s="69" t="s">
        <v>1049</v>
      </c>
      <c r="C84" s="70">
        <v>0.75969581786241758</v>
      </c>
      <c r="D84" s="71" t="s">
        <v>955</v>
      </c>
      <c r="E84" s="72">
        <f t="shared" si="1"/>
        <v>0.73799999999999999</v>
      </c>
      <c r="F84" s="73">
        <v>0.47846478061738762</v>
      </c>
      <c r="G84" s="73"/>
      <c r="H84" s="74"/>
      <c r="J84" s="82"/>
    </row>
    <row r="85" spans="2:10" ht="20.100000000000001" customHeight="1" x14ac:dyDescent="0.3">
      <c r="B85" s="69" t="s">
        <v>1050</v>
      </c>
      <c r="C85" s="70">
        <v>0.75966967447565892</v>
      </c>
      <c r="D85" s="71" t="s">
        <v>914</v>
      </c>
      <c r="E85" s="72">
        <f t="shared" si="1"/>
        <v>0.73699999999999999</v>
      </c>
      <c r="F85" s="73">
        <v>0.28744868928079181</v>
      </c>
      <c r="G85" s="73"/>
      <c r="H85" s="74"/>
      <c r="J85" s="82"/>
    </row>
    <row r="86" spans="2:10" ht="20.100000000000001" customHeight="1" x14ac:dyDescent="0.3">
      <c r="B86" s="69" t="s">
        <v>1051</v>
      </c>
      <c r="C86" s="70">
        <v>0.71557368714218561</v>
      </c>
      <c r="D86" s="71" t="s">
        <v>974</v>
      </c>
      <c r="E86" s="72">
        <f t="shared" si="1"/>
        <v>0.64800000000000002</v>
      </c>
      <c r="F86" s="73">
        <v>0.53694061269603244</v>
      </c>
      <c r="G86" s="73"/>
      <c r="H86" s="74">
        <v>9</v>
      </c>
      <c r="J86" s="82"/>
    </row>
    <row r="87" spans="2:10" ht="20.100000000000001" customHeight="1" x14ac:dyDescent="0.3">
      <c r="B87" s="69" t="s">
        <v>1052</v>
      </c>
      <c r="C87" s="70">
        <v>0.75994895988654965</v>
      </c>
      <c r="D87" s="71" t="s">
        <v>1026</v>
      </c>
      <c r="E87" s="72">
        <f t="shared" si="1"/>
        <v>0.68200000000000005</v>
      </c>
      <c r="F87" s="73">
        <v>0.42547248257248049</v>
      </c>
      <c r="G87" s="73" t="s">
        <v>1486</v>
      </c>
      <c r="H87" s="74"/>
      <c r="J87" s="82"/>
    </row>
    <row r="88" spans="2:10" ht="20.100000000000001" customHeight="1" x14ac:dyDescent="0.3">
      <c r="B88" s="69" t="s">
        <v>1053</v>
      </c>
      <c r="C88" s="70">
        <v>0.62104278879097929</v>
      </c>
      <c r="D88" s="71" t="s">
        <v>946</v>
      </c>
      <c r="E88" s="72">
        <f t="shared" si="1"/>
        <v>0.67200000000000004</v>
      </c>
      <c r="F88" s="73">
        <v>0.66323016816142821</v>
      </c>
      <c r="G88" s="73" t="s">
        <v>1487</v>
      </c>
      <c r="H88" s="74"/>
      <c r="J88" s="82"/>
    </row>
    <row r="89" spans="2:10" ht="20.100000000000001" customHeight="1" x14ac:dyDescent="0.3">
      <c r="B89" s="69" t="s">
        <v>1054</v>
      </c>
      <c r="C89" s="70">
        <v>0.67095305174801756</v>
      </c>
      <c r="D89" s="71" t="s">
        <v>940</v>
      </c>
      <c r="E89" s="72">
        <f t="shared" si="1"/>
        <v>0.73399999999999999</v>
      </c>
      <c r="F89" s="73">
        <v>0.54825307147036895</v>
      </c>
      <c r="G89" s="73"/>
      <c r="H89" s="74" t="s">
        <v>949</v>
      </c>
      <c r="J89" s="82"/>
    </row>
    <row r="90" spans="2:10" ht="20.100000000000001" customHeight="1" x14ac:dyDescent="0.3">
      <c r="B90" s="69" t="s">
        <v>1055</v>
      </c>
      <c r="C90" s="70">
        <v>0.7567419230805521</v>
      </c>
      <c r="D90" s="71" t="s">
        <v>955</v>
      </c>
      <c r="E90" s="72">
        <f t="shared" si="1"/>
        <v>0.73799999999999999</v>
      </c>
      <c r="F90" s="73">
        <v>0.49571532294439213</v>
      </c>
      <c r="G90" s="73"/>
      <c r="H90" s="74"/>
      <c r="J90" s="82"/>
    </row>
    <row r="91" spans="2:10" ht="20.100000000000001" customHeight="1" x14ac:dyDescent="0.3">
      <c r="B91" s="69" t="s">
        <v>1056</v>
      </c>
      <c r="C91" s="70">
        <v>0.78457272914348586</v>
      </c>
      <c r="D91" s="71" t="s">
        <v>974</v>
      </c>
      <c r="E91" s="72">
        <f t="shared" si="1"/>
        <v>0.64800000000000002</v>
      </c>
      <c r="F91" s="73">
        <v>0.38444242625137892</v>
      </c>
      <c r="G91" s="73" t="s">
        <v>1486</v>
      </c>
      <c r="H91" s="74"/>
      <c r="J91" s="82"/>
    </row>
    <row r="92" spans="2:10" ht="20.100000000000001" customHeight="1" x14ac:dyDescent="0.3">
      <c r="B92" s="69" t="s">
        <v>1057</v>
      </c>
      <c r="C92" s="70">
        <v>0.66573642251633369</v>
      </c>
      <c r="D92" s="71" t="s">
        <v>974</v>
      </c>
      <c r="E92" s="72">
        <f t="shared" si="1"/>
        <v>0.64800000000000002</v>
      </c>
      <c r="F92" s="73">
        <v>0.67174204034977614</v>
      </c>
      <c r="G92" s="73"/>
      <c r="H92" s="74"/>
      <c r="J92" s="82"/>
    </row>
    <row r="93" spans="2:10" ht="20.100000000000001" customHeight="1" x14ac:dyDescent="0.3">
      <c r="B93" s="69" t="s">
        <v>1058</v>
      </c>
      <c r="C93" s="70">
        <v>0.77707110873519258</v>
      </c>
      <c r="D93" s="71" t="s">
        <v>931</v>
      </c>
      <c r="E93" s="72">
        <f t="shared" si="1"/>
        <v>0.76900000000000002</v>
      </c>
      <c r="F93" s="73">
        <v>0.38940177837610146</v>
      </c>
      <c r="G93" s="73"/>
      <c r="H93" s="74"/>
      <c r="J93" s="82"/>
    </row>
    <row r="94" spans="2:10" ht="20.100000000000001" customHeight="1" x14ac:dyDescent="0.3">
      <c r="B94" s="69" t="s">
        <v>1059</v>
      </c>
      <c r="C94" s="70">
        <v>0.88462819924532865</v>
      </c>
      <c r="D94" s="71" t="s">
        <v>958</v>
      </c>
      <c r="E94" s="72">
        <f t="shared" si="1"/>
        <v>0.79600000000000004</v>
      </c>
      <c r="F94" s="73">
        <v>0.1</v>
      </c>
      <c r="G94" s="73"/>
      <c r="H94" s="74"/>
      <c r="J94" s="82"/>
    </row>
    <row r="95" spans="2:10" ht="20.100000000000001" customHeight="1" x14ac:dyDescent="0.3">
      <c r="B95" s="69" t="s">
        <v>1060</v>
      </c>
      <c r="C95" s="70">
        <v>0.74899115298879881</v>
      </c>
      <c r="D95" s="71" t="s">
        <v>967</v>
      </c>
      <c r="E95" s="72">
        <f t="shared" si="1"/>
        <v>0.76200000000000001</v>
      </c>
      <c r="F95" s="73">
        <v>0.51452593111582623</v>
      </c>
      <c r="G95" s="73"/>
      <c r="H95" s="74"/>
      <c r="J95" s="82"/>
    </row>
    <row r="96" spans="2:10" ht="20.100000000000001" customHeight="1" x14ac:dyDescent="0.3">
      <c r="B96" s="69" t="s">
        <v>1061</v>
      </c>
      <c r="C96" s="70">
        <v>0.82552819009641953</v>
      </c>
      <c r="D96" s="71" t="s">
        <v>931</v>
      </c>
      <c r="E96" s="72">
        <f t="shared" si="1"/>
        <v>0.76900000000000002</v>
      </c>
      <c r="F96" s="73">
        <v>0.3091160368119561</v>
      </c>
      <c r="G96" s="73"/>
      <c r="H96" s="74"/>
      <c r="J96" s="82"/>
    </row>
    <row r="97" spans="2:10" ht="20.100000000000001" customHeight="1" x14ac:dyDescent="0.3">
      <c r="B97" s="69" t="s">
        <v>1062</v>
      </c>
      <c r="C97" s="70">
        <v>0.76353422353650668</v>
      </c>
      <c r="D97" s="71" t="s">
        <v>914</v>
      </c>
      <c r="E97" s="72">
        <f t="shared" si="1"/>
        <v>0.73699999999999999</v>
      </c>
      <c r="F97" s="73">
        <v>0.41145312092870157</v>
      </c>
      <c r="G97" s="73"/>
      <c r="H97" s="74"/>
      <c r="J97" s="82"/>
    </row>
    <row r="98" spans="2:10" ht="20.100000000000001" customHeight="1" x14ac:dyDescent="0.3">
      <c r="B98" s="69" t="s">
        <v>1063</v>
      </c>
      <c r="C98" s="70">
        <v>0.77594519588300059</v>
      </c>
      <c r="D98" s="71" t="s">
        <v>920</v>
      </c>
      <c r="E98" s="72">
        <f t="shared" si="1"/>
        <v>0.76600000000000001</v>
      </c>
      <c r="F98" s="73">
        <v>0.48039532660726292</v>
      </c>
      <c r="G98" s="73" t="s">
        <v>1488</v>
      </c>
      <c r="H98" s="74">
        <v>3</v>
      </c>
      <c r="J98" s="82"/>
    </row>
    <row r="99" spans="2:10" ht="20.100000000000001" customHeight="1" x14ac:dyDescent="0.3">
      <c r="B99" s="69" t="s">
        <v>1064</v>
      </c>
      <c r="C99" s="70">
        <v>0.81234082593122459</v>
      </c>
      <c r="D99" s="71" t="s">
        <v>958</v>
      </c>
      <c r="E99" s="72">
        <f t="shared" si="1"/>
        <v>0.79600000000000004</v>
      </c>
      <c r="F99" s="73">
        <v>0.23136815519619083</v>
      </c>
      <c r="G99" s="73"/>
      <c r="H99" s="74">
        <v>1</v>
      </c>
      <c r="J99" s="82"/>
    </row>
    <row r="100" spans="2:10" ht="20.100000000000001" customHeight="1" x14ac:dyDescent="0.3">
      <c r="B100" s="69" t="s">
        <v>1065</v>
      </c>
      <c r="C100" s="70">
        <v>0.75747013632008486</v>
      </c>
      <c r="D100" s="71" t="s">
        <v>967</v>
      </c>
      <c r="E100" s="72">
        <f t="shared" si="1"/>
        <v>0.76200000000000001</v>
      </c>
      <c r="F100" s="73">
        <v>0.50832855914743913</v>
      </c>
      <c r="G100" s="73"/>
      <c r="H100" s="74"/>
      <c r="J100" s="82"/>
    </row>
    <row r="101" spans="2:10" ht="20.100000000000001" customHeight="1" x14ac:dyDescent="0.3">
      <c r="B101" s="69" t="s">
        <v>1066</v>
      </c>
      <c r="C101" s="70">
        <v>0.65722299194514999</v>
      </c>
      <c r="D101" s="71" t="s">
        <v>946</v>
      </c>
      <c r="E101" s="72">
        <f t="shared" si="1"/>
        <v>0.67200000000000004</v>
      </c>
      <c r="F101" s="73">
        <v>0.72668024745731208</v>
      </c>
      <c r="G101" s="73" t="s">
        <v>1487</v>
      </c>
      <c r="H101" s="74"/>
      <c r="J101" s="82"/>
    </row>
    <row r="102" spans="2:10" ht="20.100000000000001" customHeight="1" x14ac:dyDescent="0.3">
      <c r="B102" s="69" t="s">
        <v>1067</v>
      </c>
      <c r="C102" s="70">
        <v>0.66351742102557953</v>
      </c>
      <c r="D102" s="77" t="s">
        <v>1028</v>
      </c>
      <c r="E102" s="72">
        <f t="shared" si="1"/>
        <v>0.66500000000000004</v>
      </c>
      <c r="F102" s="73">
        <v>0.67869158616178449</v>
      </c>
      <c r="G102" s="73" t="s">
        <v>1486</v>
      </c>
      <c r="H102" s="74">
        <v>3</v>
      </c>
      <c r="J102" s="82"/>
    </row>
    <row r="103" spans="2:10" ht="20.100000000000001" customHeight="1" x14ac:dyDescent="0.3">
      <c r="B103" s="69" t="s">
        <v>1068</v>
      </c>
      <c r="C103" s="70">
        <v>0.7194606283977012</v>
      </c>
      <c r="D103" s="71" t="s">
        <v>1001</v>
      </c>
      <c r="E103" s="72">
        <f t="shared" si="1"/>
        <v>0.72399999999999998</v>
      </c>
      <c r="F103" s="73">
        <v>0.61479102674984598</v>
      </c>
      <c r="G103" s="73" t="s">
        <v>1488</v>
      </c>
      <c r="H103" s="74" t="s">
        <v>992</v>
      </c>
      <c r="J103" s="82"/>
    </row>
    <row r="104" spans="2:10" ht="20.100000000000001" customHeight="1" x14ac:dyDescent="0.3">
      <c r="B104" s="69" t="s">
        <v>1069</v>
      </c>
      <c r="C104" s="70">
        <v>0.6562777262702485</v>
      </c>
      <c r="D104" s="77" t="s">
        <v>961</v>
      </c>
      <c r="E104" s="72">
        <f t="shared" si="1"/>
        <v>0.64200000000000002</v>
      </c>
      <c r="F104" s="73">
        <v>0.65693594965424762</v>
      </c>
      <c r="G104" s="73" t="s">
        <v>1486</v>
      </c>
      <c r="H104" s="74"/>
      <c r="J104" s="82"/>
    </row>
    <row r="105" spans="2:10" ht="20.100000000000001" customHeight="1" x14ac:dyDescent="0.3">
      <c r="B105" s="69" t="s">
        <v>1070</v>
      </c>
      <c r="C105" s="70">
        <v>0.79208675346026269</v>
      </c>
      <c r="D105" s="71" t="s">
        <v>1019</v>
      </c>
      <c r="E105" s="72">
        <f t="shared" si="1"/>
        <v>0.72499999999999998</v>
      </c>
      <c r="F105" s="73">
        <v>0.48869493087059401</v>
      </c>
      <c r="G105" s="73"/>
      <c r="H105" s="74">
        <v>4</v>
      </c>
      <c r="J105" s="82"/>
    </row>
    <row r="106" spans="2:10" ht="20.100000000000001" customHeight="1" x14ac:dyDescent="0.3">
      <c r="B106" s="83" t="s">
        <v>1071</v>
      </c>
      <c r="C106" s="70">
        <v>0.80610929844304779</v>
      </c>
      <c r="D106" s="71" t="s">
        <v>1001</v>
      </c>
      <c r="E106" s="72">
        <f t="shared" si="1"/>
        <v>0.72399999999999998</v>
      </c>
      <c r="F106" s="73">
        <v>0.41828572709010903</v>
      </c>
      <c r="G106" s="73"/>
      <c r="H106" s="74"/>
      <c r="J106" s="82"/>
    </row>
    <row r="107" spans="2:10" ht="20.100000000000001" customHeight="1" x14ac:dyDescent="0.3">
      <c r="B107" s="69" t="s">
        <v>1072</v>
      </c>
      <c r="C107" s="70">
        <v>0.74837989944304684</v>
      </c>
      <c r="D107" s="77" t="s">
        <v>961</v>
      </c>
      <c r="E107" s="72">
        <f t="shared" si="1"/>
        <v>0.64200000000000002</v>
      </c>
      <c r="F107" s="73">
        <v>0.40736310637743156</v>
      </c>
      <c r="G107" s="73" t="s">
        <v>1486</v>
      </c>
      <c r="H107" s="74"/>
      <c r="J107" s="82"/>
    </row>
    <row r="108" spans="2:10" ht="20.100000000000001" customHeight="1" x14ac:dyDescent="0.3">
      <c r="B108" s="69" t="s">
        <v>1073</v>
      </c>
      <c r="C108" s="70">
        <v>0.68512322216961241</v>
      </c>
      <c r="D108" s="71" t="s">
        <v>967</v>
      </c>
      <c r="E108" s="72">
        <f t="shared" si="1"/>
        <v>0.76200000000000001</v>
      </c>
      <c r="F108" s="73">
        <v>0.53050995142385049</v>
      </c>
      <c r="G108" s="73"/>
      <c r="H108" s="74"/>
      <c r="J108" s="82"/>
    </row>
    <row r="109" spans="2:10" ht="20.100000000000001" customHeight="1" x14ac:dyDescent="0.3">
      <c r="B109" s="69" t="s">
        <v>1074</v>
      </c>
      <c r="C109" s="70">
        <v>0.77914298285691252</v>
      </c>
      <c r="D109" s="77" t="s">
        <v>996</v>
      </c>
      <c r="E109" s="72">
        <f t="shared" si="1"/>
        <v>0.68300000000000005</v>
      </c>
      <c r="F109" s="73">
        <v>0.49329051264502022</v>
      </c>
      <c r="G109" s="73"/>
      <c r="H109" s="74"/>
      <c r="J109" s="82"/>
    </row>
    <row r="110" spans="2:10" ht="20.100000000000001" customHeight="1" x14ac:dyDescent="0.3">
      <c r="B110" s="69" t="s">
        <v>1075</v>
      </c>
      <c r="C110" s="70">
        <v>0.76728163555959095</v>
      </c>
      <c r="D110" s="71" t="s">
        <v>946</v>
      </c>
      <c r="E110" s="72">
        <f t="shared" si="1"/>
        <v>0.67200000000000004</v>
      </c>
      <c r="F110" s="73">
        <v>0.57553501857333089</v>
      </c>
      <c r="G110" s="73" t="s">
        <v>1487</v>
      </c>
      <c r="H110" s="74"/>
      <c r="J110" s="82"/>
    </row>
    <row r="111" spans="2:10" ht="20.100000000000001" customHeight="1" x14ac:dyDescent="0.3">
      <c r="B111" s="69" t="s">
        <v>1076</v>
      </c>
      <c r="C111" s="70">
        <v>0.64286183657146234</v>
      </c>
      <c r="D111" s="77" t="s">
        <v>961</v>
      </c>
      <c r="E111" s="72">
        <f t="shared" si="1"/>
        <v>0.64200000000000002</v>
      </c>
      <c r="F111" s="73">
        <v>0.62919104141545446</v>
      </c>
      <c r="G111" s="73" t="s">
        <v>1486</v>
      </c>
      <c r="H111" s="74" t="s">
        <v>1077</v>
      </c>
      <c r="J111" s="82"/>
    </row>
    <row r="112" spans="2:10" ht="20.100000000000001" customHeight="1" x14ac:dyDescent="0.3">
      <c r="B112" s="69" t="s">
        <v>1078</v>
      </c>
      <c r="C112" s="70">
        <v>0.63782358582785359</v>
      </c>
      <c r="D112" s="71" t="s">
        <v>974</v>
      </c>
      <c r="E112" s="72">
        <f t="shared" si="1"/>
        <v>0.64800000000000002</v>
      </c>
      <c r="F112" s="73">
        <v>0.64561257403056593</v>
      </c>
      <c r="G112" s="73"/>
      <c r="H112" s="74" t="s">
        <v>992</v>
      </c>
      <c r="J112" s="82"/>
    </row>
    <row r="113" spans="2:10" ht="20.100000000000001" customHeight="1" x14ac:dyDescent="0.3">
      <c r="B113" s="69" t="s">
        <v>1079</v>
      </c>
      <c r="C113" s="70">
        <v>0.75345535690787879</v>
      </c>
      <c r="D113" s="71" t="s">
        <v>931</v>
      </c>
      <c r="E113" s="72">
        <f t="shared" si="1"/>
        <v>0.76900000000000002</v>
      </c>
      <c r="F113" s="73">
        <v>0.44423712632277812</v>
      </c>
      <c r="G113" s="73"/>
      <c r="H113" s="74"/>
      <c r="J113" s="82"/>
    </row>
    <row r="114" spans="2:10" ht="20.100000000000001" customHeight="1" x14ac:dyDescent="0.3">
      <c r="B114" s="69" t="s">
        <v>1080</v>
      </c>
      <c r="C114" s="70">
        <v>0.76472479670130533</v>
      </c>
      <c r="D114" s="71" t="s">
        <v>955</v>
      </c>
      <c r="E114" s="72">
        <f t="shared" si="1"/>
        <v>0.73799999999999999</v>
      </c>
      <c r="F114" s="73">
        <v>0.47314847703996288</v>
      </c>
      <c r="G114" s="73"/>
      <c r="H114" s="74"/>
      <c r="J114" s="82"/>
    </row>
    <row r="115" spans="2:10" ht="20.100000000000001" customHeight="1" x14ac:dyDescent="0.3">
      <c r="B115" s="69" t="s">
        <v>1081</v>
      </c>
      <c r="C115" s="70">
        <v>0.81332731950350945</v>
      </c>
      <c r="D115" s="77" t="s">
        <v>1009</v>
      </c>
      <c r="E115" s="72">
        <f t="shared" si="1"/>
        <v>0.80900000000000005</v>
      </c>
      <c r="F115" s="73">
        <v>0.32386855024119904</v>
      </c>
      <c r="G115" s="73"/>
      <c r="H115" s="74"/>
      <c r="J115" s="82"/>
    </row>
    <row r="116" spans="2:10" ht="20.100000000000001" customHeight="1" x14ac:dyDescent="0.3">
      <c r="B116" s="69" t="s">
        <v>1082</v>
      </c>
      <c r="C116" s="70">
        <v>0.79828112223149073</v>
      </c>
      <c r="D116" s="71" t="s">
        <v>920</v>
      </c>
      <c r="E116" s="72">
        <f t="shared" si="1"/>
        <v>0.76600000000000001</v>
      </c>
      <c r="F116" s="73">
        <v>0.38795928699953253</v>
      </c>
      <c r="G116" s="73"/>
      <c r="H116" s="74"/>
      <c r="J116" s="82"/>
    </row>
    <row r="117" spans="2:10" ht="20.100000000000001" customHeight="1" x14ac:dyDescent="0.3">
      <c r="B117" s="69" t="s">
        <v>1083</v>
      </c>
      <c r="C117" s="70">
        <v>0.75708438561495117</v>
      </c>
      <c r="D117" s="71" t="s">
        <v>1001</v>
      </c>
      <c r="E117" s="72">
        <f t="shared" si="1"/>
        <v>0.72399999999999998</v>
      </c>
      <c r="F117" s="73">
        <v>0.53466322593339499</v>
      </c>
      <c r="G117" s="73" t="s">
        <v>1488</v>
      </c>
      <c r="H117" s="74"/>
      <c r="J117" s="82"/>
    </row>
    <row r="118" spans="2:10" ht="20.100000000000001" customHeight="1" x14ac:dyDescent="0.3">
      <c r="B118" s="69" t="s">
        <v>1084</v>
      </c>
      <c r="C118" s="70">
        <v>0.73256727635947927</v>
      </c>
      <c r="D118" s="71" t="s">
        <v>955</v>
      </c>
      <c r="E118" s="72">
        <f t="shared" si="1"/>
        <v>0.73799999999999999</v>
      </c>
      <c r="F118" s="73">
        <v>0.50155513782846184</v>
      </c>
      <c r="G118" s="73"/>
      <c r="H118" s="74">
        <v>5</v>
      </c>
      <c r="J118" s="82"/>
    </row>
    <row r="119" spans="2:10" ht="20.100000000000001" customHeight="1" x14ac:dyDescent="0.3">
      <c r="B119" s="69" t="s">
        <v>1085</v>
      </c>
      <c r="C119" s="70">
        <v>0.79219654020596608</v>
      </c>
      <c r="D119" s="71" t="s">
        <v>931</v>
      </c>
      <c r="E119" s="72">
        <f t="shared" si="1"/>
        <v>0.76900000000000002</v>
      </c>
      <c r="F119" s="73">
        <v>0.39227856731907673</v>
      </c>
      <c r="G119" s="73"/>
      <c r="H119" s="74"/>
      <c r="J119" s="82"/>
    </row>
    <row r="120" spans="2:10" ht="20.100000000000001" customHeight="1" x14ac:dyDescent="0.3">
      <c r="B120" s="69" t="s">
        <v>1086</v>
      </c>
      <c r="C120" s="70">
        <v>0.80204452041099927</v>
      </c>
      <c r="D120" s="71" t="s">
        <v>920</v>
      </c>
      <c r="E120" s="72">
        <f t="shared" si="1"/>
        <v>0.76600000000000001</v>
      </c>
      <c r="F120" s="73">
        <v>0.45972487777058857</v>
      </c>
      <c r="G120" s="73"/>
      <c r="H120" s="74"/>
      <c r="J120" s="82"/>
    </row>
    <row r="121" spans="2:10" ht="20.100000000000001" customHeight="1" x14ac:dyDescent="0.3">
      <c r="B121" s="69" t="s">
        <v>1087</v>
      </c>
      <c r="C121" s="70">
        <v>0.70415110909216028</v>
      </c>
      <c r="D121" s="77" t="s">
        <v>996</v>
      </c>
      <c r="E121" s="72">
        <f t="shared" si="1"/>
        <v>0.68300000000000005</v>
      </c>
      <c r="F121" s="73">
        <v>0.55646927049395511</v>
      </c>
      <c r="G121" s="73" t="s">
        <v>1488</v>
      </c>
      <c r="H121" s="74"/>
      <c r="J121" s="82"/>
    </row>
    <row r="122" spans="2:10" ht="20.100000000000001" customHeight="1" x14ac:dyDescent="0.3">
      <c r="B122" s="69" t="s">
        <v>1088</v>
      </c>
      <c r="C122" s="70">
        <v>0.76223689292224406</v>
      </c>
      <c r="D122" s="71" t="s">
        <v>958</v>
      </c>
      <c r="E122" s="72">
        <f t="shared" si="1"/>
        <v>0.79600000000000004</v>
      </c>
      <c r="F122" s="73">
        <v>0.43773177562097654</v>
      </c>
      <c r="G122" s="73"/>
      <c r="H122" s="74">
        <v>3</v>
      </c>
      <c r="J122" s="82"/>
    </row>
    <row r="123" spans="2:10" ht="20.100000000000001" customHeight="1" x14ac:dyDescent="0.3">
      <c r="B123" s="69" t="s">
        <v>1089</v>
      </c>
      <c r="C123" s="70">
        <v>0.82820331812274661</v>
      </c>
      <c r="D123" s="71" t="s">
        <v>958</v>
      </c>
      <c r="E123" s="72">
        <f t="shared" si="1"/>
        <v>0.79600000000000004</v>
      </c>
      <c r="F123" s="73">
        <v>0.27809720242836888</v>
      </c>
      <c r="G123" s="73"/>
      <c r="H123" s="74"/>
      <c r="J123" s="82"/>
    </row>
    <row r="124" spans="2:10" ht="20.100000000000001" customHeight="1" x14ac:dyDescent="0.3">
      <c r="B124" s="69" t="s">
        <v>1090</v>
      </c>
      <c r="C124" s="70">
        <v>0.80171722156055214</v>
      </c>
      <c r="D124" s="71" t="s">
        <v>931</v>
      </c>
      <c r="E124" s="72">
        <f t="shared" si="1"/>
        <v>0.76900000000000002</v>
      </c>
      <c r="F124" s="73">
        <v>0.29113063276284545</v>
      </c>
      <c r="G124" s="73"/>
      <c r="H124" s="74">
        <v>5</v>
      </c>
      <c r="J124" s="82"/>
    </row>
    <row r="125" spans="2:10" ht="20.100000000000001" customHeight="1" x14ac:dyDescent="0.3">
      <c r="B125" s="69" t="s">
        <v>1091</v>
      </c>
      <c r="C125" s="70">
        <v>0.74676539597137026</v>
      </c>
      <c r="D125" s="77" t="s">
        <v>996</v>
      </c>
      <c r="E125" s="72">
        <f t="shared" si="1"/>
        <v>0.68300000000000005</v>
      </c>
      <c r="F125" s="73">
        <v>0.63460221021438712</v>
      </c>
      <c r="G125" s="73" t="s">
        <v>1488</v>
      </c>
      <c r="H125" s="74">
        <v>3</v>
      </c>
      <c r="J125" s="82"/>
    </row>
    <row r="126" spans="2:10" ht="20.100000000000001" customHeight="1" x14ac:dyDescent="0.3">
      <c r="B126" s="69" t="s">
        <v>1092</v>
      </c>
      <c r="C126" s="70">
        <v>0.67387602837471894</v>
      </c>
      <c r="D126" s="77" t="s">
        <v>961</v>
      </c>
      <c r="E126" s="72">
        <f t="shared" si="1"/>
        <v>0.64200000000000002</v>
      </c>
      <c r="F126" s="73">
        <v>0.60396586797808116</v>
      </c>
      <c r="G126" s="73" t="s">
        <v>1486</v>
      </c>
      <c r="H126" s="74"/>
      <c r="J126" s="82"/>
    </row>
    <row r="127" spans="2:10" ht="20.100000000000001" customHeight="1" x14ac:dyDescent="0.3">
      <c r="B127" s="69" t="s">
        <v>1093</v>
      </c>
      <c r="C127" s="70">
        <v>0.68387992144886767</v>
      </c>
      <c r="D127" s="71" t="s">
        <v>934</v>
      </c>
      <c r="E127" s="72">
        <f t="shared" si="1"/>
        <v>0.68799999999999994</v>
      </c>
      <c r="F127" s="73">
        <v>0.67600623430649742</v>
      </c>
      <c r="G127" s="73" t="s">
        <v>1488</v>
      </c>
      <c r="H127" s="74"/>
      <c r="J127" s="82"/>
    </row>
    <row r="128" spans="2:10" ht="20.100000000000001" customHeight="1" x14ac:dyDescent="0.3">
      <c r="B128" s="69" t="s">
        <v>1094</v>
      </c>
      <c r="C128" s="70">
        <v>0.79131957437657774</v>
      </c>
      <c r="D128" s="77" t="s">
        <v>1009</v>
      </c>
      <c r="E128" s="72">
        <f t="shared" si="1"/>
        <v>0.80900000000000005</v>
      </c>
      <c r="F128" s="73">
        <v>0.35028266221135251</v>
      </c>
      <c r="G128" s="73"/>
      <c r="H128" s="74"/>
      <c r="J128" s="82"/>
    </row>
    <row r="129" spans="2:10" ht="20.100000000000001" customHeight="1" x14ac:dyDescent="0.3">
      <c r="B129" s="69" t="s">
        <v>1095</v>
      </c>
      <c r="C129" s="70">
        <v>0.78881941861318849</v>
      </c>
      <c r="D129" s="71" t="s">
        <v>967</v>
      </c>
      <c r="E129" s="72">
        <f t="shared" si="1"/>
        <v>0.76200000000000001</v>
      </c>
      <c r="F129" s="73">
        <v>0.43059033864618734</v>
      </c>
      <c r="G129" s="73" t="s">
        <v>1488</v>
      </c>
      <c r="H129" s="74">
        <v>9</v>
      </c>
      <c r="J129" s="82"/>
    </row>
    <row r="130" spans="2:10" ht="20.100000000000001" customHeight="1" x14ac:dyDescent="0.3">
      <c r="B130" s="69" t="s">
        <v>1096</v>
      </c>
      <c r="C130" s="70">
        <v>0.76648405695392308</v>
      </c>
      <c r="D130" s="71" t="s">
        <v>955</v>
      </c>
      <c r="E130" s="72">
        <f t="shared" si="1"/>
        <v>0.73799999999999999</v>
      </c>
      <c r="F130" s="73">
        <v>0.44142032488736727</v>
      </c>
      <c r="G130" s="73"/>
      <c r="H130" s="74">
        <v>3</v>
      </c>
      <c r="J130" s="82"/>
    </row>
    <row r="131" spans="2:10" ht="20.100000000000001" customHeight="1" x14ac:dyDescent="0.3">
      <c r="B131" s="69" t="s">
        <v>1097</v>
      </c>
      <c r="C131" s="70">
        <v>0.81265834552932148</v>
      </c>
      <c r="D131" s="71" t="s">
        <v>931</v>
      </c>
      <c r="E131" s="72">
        <f t="shared" si="1"/>
        <v>0.76900000000000002</v>
      </c>
      <c r="F131" s="73">
        <v>0.40776302146677967</v>
      </c>
      <c r="G131" s="73"/>
      <c r="H131" s="74">
        <v>5</v>
      </c>
      <c r="J131" s="82"/>
    </row>
    <row r="132" spans="2:10" ht="20.100000000000001" customHeight="1" x14ac:dyDescent="0.3">
      <c r="B132" s="69" t="s">
        <v>1098</v>
      </c>
      <c r="C132" s="70">
        <v>0.7210217904548063</v>
      </c>
      <c r="D132" s="77" t="s">
        <v>996</v>
      </c>
      <c r="E132" s="72">
        <f t="shared" ref="E132:E195" si="2">VLOOKUP(D132,$J$5:$K$32,2,0)</f>
        <v>0.68300000000000005</v>
      </c>
      <c r="F132" s="73">
        <v>0.63561412259828787</v>
      </c>
      <c r="G132" s="73" t="s">
        <v>1488</v>
      </c>
      <c r="H132" s="74"/>
      <c r="J132" s="82"/>
    </row>
    <row r="133" spans="2:10" ht="20.100000000000001" customHeight="1" x14ac:dyDescent="0.3">
      <c r="B133" s="69" t="s">
        <v>1099</v>
      </c>
      <c r="C133" s="70">
        <v>0.67965573197961504</v>
      </c>
      <c r="D133" s="71" t="s">
        <v>1019</v>
      </c>
      <c r="E133" s="72">
        <f t="shared" si="2"/>
        <v>0.72499999999999998</v>
      </c>
      <c r="F133" s="73">
        <v>0.76050868787413928</v>
      </c>
      <c r="G133" s="73" t="s">
        <v>1488</v>
      </c>
      <c r="H133" s="74">
        <v>10</v>
      </c>
      <c r="J133" s="82"/>
    </row>
    <row r="134" spans="2:10" ht="20.100000000000001" customHeight="1" x14ac:dyDescent="0.3">
      <c r="B134" s="69" t="s">
        <v>1100</v>
      </c>
      <c r="C134" s="70">
        <v>0.72722342200349788</v>
      </c>
      <c r="D134" s="77" t="s">
        <v>917</v>
      </c>
      <c r="E134" s="72">
        <f t="shared" si="2"/>
        <v>0.70599999999999996</v>
      </c>
      <c r="F134" s="73">
        <v>0.51760845005646583</v>
      </c>
      <c r="G134" s="73" t="s">
        <v>1486</v>
      </c>
      <c r="H134" s="74"/>
      <c r="J134" s="82"/>
    </row>
    <row r="135" spans="2:10" ht="20.100000000000001" customHeight="1" x14ac:dyDescent="0.3">
      <c r="B135" s="69" t="s">
        <v>1101</v>
      </c>
      <c r="C135" s="70">
        <v>0.80449915041017261</v>
      </c>
      <c r="D135" s="71" t="s">
        <v>964</v>
      </c>
      <c r="E135" s="72">
        <f t="shared" si="2"/>
        <v>0.73499999999999999</v>
      </c>
      <c r="F135" s="73">
        <v>0.24542375769186658</v>
      </c>
      <c r="G135" s="73"/>
      <c r="H135" s="74"/>
      <c r="J135" s="82"/>
    </row>
    <row r="136" spans="2:10" ht="20.100000000000001" customHeight="1" x14ac:dyDescent="0.3">
      <c r="B136" s="69" t="s">
        <v>1102</v>
      </c>
      <c r="C136" s="70">
        <v>0.75805184644942669</v>
      </c>
      <c r="D136" s="71" t="s">
        <v>934</v>
      </c>
      <c r="E136" s="72">
        <f t="shared" si="2"/>
        <v>0.68799999999999994</v>
      </c>
      <c r="F136" s="73">
        <v>0.47336819040148925</v>
      </c>
      <c r="G136" s="73"/>
      <c r="H136" s="74"/>
      <c r="J136" s="82"/>
    </row>
    <row r="137" spans="2:10" ht="20.100000000000001" customHeight="1" x14ac:dyDescent="0.3">
      <c r="B137" s="69" t="s">
        <v>1103</v>
      </c>
      <c r="C137" s="70">
        <v>0.80200857101278022</v>
      </c>
      <c r="D137" s="71" t="s">
        <v>955</v>
      </c>
      <c r="E137" s="72">
        <f t="shared" si="2"/>
        <v>0.73799999999999999</v>
      </c>
      <c r="F137" s="73">
        <v>0.42118871188837181</v>
      </c>
      <c r="G137" s="73"/>
      <c r="H137" s="74">
        <v>11</v>
      </c>
      <c r="J137" s="82"/>
    </row>
    <row r="138" spans="2:10" ht="20.100000000000001" customHeight="1" x14ac:dyDescent="0.3">
      <c r="B138" s="69" t="s">
        <v>1104</v>
      </c>
      <c r="C138" s="70">
        <v>0.60260522494352131</v>
      </c>
      <c r="D138" s="77" t="s">
        <v>961</v>
      </c>
      <c r="E138" s="72">
        <f t="shared" si="2"/>
        <v>0.64200000000000002</v>
      </c>
      <c r="F138" s="73">
        <v>0.68401723583147889</v>
      </c>
      <c r="G138" s="73" t="s">
        <v>1486</v>
      </c>
      <c r="H138" s="74">
        <v>5</v>
      </c>
      <c r="J138" s="82"/>
    </row>
    <row r="139" spans="2:10" ht="20.100000000000001" customHeight="1" x14ac:dyDescent="0.3">
      <c r="B139" s="69" t="s">
        <v>1105</v>
      </c>
      <c r="C139" s="70">
        <v>0.7247697935741666</v>
      </c>
      <c r="D139" s="77" t="s">
        <v>911</v>
      </c>
      <c r="E139" s="72">
        <f t="shared" si="2"/>
        <v>0.67400000000000004</v>
      </c>
      <c r="F139" s="73">
        <v>0.59545823232302508</v>
      </c>
      <c r="G139" s="73" t="s">
        <v>1487</v>
      </c>
      <c r="H139" s="74">
        <v>4</v>
      </c>
      <c r="J139" s="82"/>
    </row>
    <row r="140" spans="2:10" ht="20.100000000000001" customHeight="1" x14ac:dyDescent="0.3">
      <c r="B140" s="69" t="s">
        <v>1106</v>
      </c>
      <c r="C140" s="70">
        <v>0.68122582608997584</v>
      </c>
      <c r="D140" s="71" t="s">
        <v>974</v>
      </c>
      <c r="E140" s="72">
        <f t="shared" si="2"/>
        <v>0.64800000000000002</v>
      </c>
      <c r="F140" s="73">
        <v>0.61949518355973998</v>
      </c>
      <c r="G140" s="73"/>
      <c r="H140" s="74"/>
      <c r="J140" s="82"/>
    </row>
    <row r="141" spans="2:10" ht="20.100000000000001" customHeight="1" x14ac:dyDescent="0.3">
      <c r="B141" s="69" t="s">
        <v>1107</v>
      </c>
      <c r="C141" s="70">
        <v>0.71627935610937055</v>
      </c>
      <c r="D141" s="77" t="s">
        <v>917</v>
      </c>
      <c r="E141" s="72">
        <f t="shared" si="2"/>
        <v>0.70599999999999996</v>
      </c>
      <c r="F141" s="73">
        <v>0.57731590150476664</v>
      </c>
      <c r="G141" s="73" t="s">
        <v>1486</v>
      </c>
      <c r="H141" s="74"/>
      <c r="J141" s="82"/>
    </row>
    <row r="142" spans="2:10" ht="20.100000000000001" customHeight="1" x14ac:dyDescent="0.3">
      <c r="B142" s="69" t="s">
        <v>1108</v>
      </c>
      <c r="C142" s="70">
        <v>0.76832980683762531</v>
      </c>
      <c r="D142" s="77" t="s">
        <v>923</v>
      </c>
      <c r="E142" s="72">
        <f t="shared" si="2"/>
        <v>0.748</v>
      </c>
      <c r="F142" s="73">
        <v>0.527534561010507</v>
      </c>
      <c r="G142" s="73"/>
      <c r="H142" s="74"/>
      <c r="J142" s="82"/>
    </row>
    <row r="143" spans="2:10" ht="20.100000000000001" customHeight="1" x14ac:dyDescent="0.3">
      <c r="B143" s="69" t="s">
        <v>1109</v>
      </c>
      <c r="C143" s="70">
        <v>0.78518983498790262</v>
      </c>
      <c r="D143" s="71" t="s">
        <v>955</v>
      </c>
      <c r="E143" s="72">
        <f t="shared" si="2"/>
        <v>0.73799999999999999</v>
      </c>
      <c r="F143" s="73">
        <v>0.43621069571347049</v>
      </c>
      <c r="G143" s="73"/>
      <c r="H143" s="74"/>
      <c r="J143" s="82"/>
    </row>
    <row r="144" spans="2:10" ht="20.100000000000001" customHeight="1" x14ac:dyDescent="0.3">
      <c r="B144" s="69" t="s">
        <v>1110</v>
      </c>
      <c r="C144" s="70">
        <v>0.73072422480252597</v>
      </c>
      <c r="D144" s="71" t="s">
        <v>943</v>
      </c>
      <c r="E144" s="72">
        <f t="shared" si="2"/>
        <v>0.76400000000000001</v>
      </c>
      <c r="F144" s="73">
        <v>0.3567458709770911</v>
      </c>
      <c r="G144" s="73"/>
      <c r="H144" s="74"/>
      <c r="J144" s="82"/>
    </row>
    <row r="145" spans="2:10" ht="20.100000000000001" customHeight="1" x14ac:dyDescent="0.3">
      <c r="B145" s="69" t="s">
        <v>1111</v>
      </c>
      <c r="C145" s="70">
        <v>0.77382047678197252</v>
      </c>
      <c r="D145" s="71" t="s">
        <v>955</v>
      </c>
      <c r="E145" s="72">
        <f t="shared" si="2"/>
        <v>0.73799999999999999</v>
      </c>
      <c r="F145" s="73">
        <v>0.35681516247139888</v>
      </c>
      <c r="G145" s="73"/>
      <c r="H145" s="74"/>
      <c r="J145" s="82"/>
    </row>
    <row r="146" spans="2:10" ht="20.100000000000001" customHeight="1" x14ac:dyDescent="0.3">
      <c r="B146" s="69" t="s">
        <v>1112</v>
      </c>
      <c r="C146" s="70">
        <v>0.67037751577546467</v>
      </c>
      <c r="D146" s="71" t="s">
        <v>977</v>
      </c>
      <c r="E146" s="72">
        <f t="shared" si="2"/>
        <v>0.73699999999999999</v>
      </c>
      <c r="F146" s="73">
        <v>0.56015942221034976</v>
      </c>
      <c r="G146" s="73" t="s">
        <v>1487</v>
      </c>
      <c r="H146" s="74"/>
      <c r="J146" s="82"/>
    </row>
    <row r="147" spans="2:10" ht="20.100000000000001" customHeight="1" x14ac:dyDescent="0.3">
      <c r="B147" s="69" t="s">
        <v>1113</v>
      </c>
      <c r="C147" s="70">
        <v>0.72674237901559291</v>
      </c>
      <c r="D147" s="71" t="s">
        <v>1001</v>
      </c>
      <c r="E147" s="72">
        <f t="shared" si="2"/>
        <v>0.72399999999999998</v>
      </c>
      <c r="F147" s="73">
        <v>0.52317622285634835</v>
      </c>
      <c r="G147" s="73" t="s">
        <v>1488</v>
      </c>
      <c r="H147" s="74"/>
      <c r="J147" s="82"/>
    </row>
    <row r="148" spans="2:10" ht="20.100000000000001" customHeight="1" x14ac:dyDescent="0.3">
      <c r="B148" s="69" t="s">
        <v>1114</v>
      </c>
      <c r="C148" s="70">
        <v>0.7532037910293099</v>
      </c>
      <c r="D148" s="71" t="s">
        <v>967</v>
      </c>
      <c r="E148" s="72">
        <f t="shared" si="2"/>
        <v>0.76200000000000001</v>
      </c>
      <c r="F148" s="73">
        <v>0.30322508615042698</v>
      </c>
      <c r="G148" s="73"/>
      <c r="H148" s="74">
        <v>1</v>
      </c>
      <c r="J148" s="82"/>
    </row>
    <row r="149" spans="2:10" ht="20.100000000000001" customHeight="1" x14ac:dyDescent="0.3">
      <c r="B149" s="69" t="s">
        <v>1115</v>
      </c>
      <c r="C149" s="70">
        <v>0.72854267228212555</v>
      </c>
      <c r="D149" s="71" t="s">
        <v>1019</v>
      </c>
      <c r="E149" s="72">
        <f t="shared" si="2"/>
        <v>0.72499999999999998</v>
      </c>
      <c r="F149" s="73">
        <v>0.5296946774852257</v>
      </c>
      <c r="G149" s="73" t="s">
        <v>1488</v>
      </c>
      <c r="H149" s="74"/>
      <c r="J149" s="82"/>
    </row>
    <row r="150" spans="2:10" ht="20.100000000000001" customHeight="1" x14ac:dyDescent="0.3">
      <c r="B150" s="69" t="s">
        <v>1116</v>
      </c>
      <c r="C150" s="70">
        <v>0.71815421776713118</v>
      </c>
      <c r="D150" s="71" t="s">
        <v>967</v>
      </c>
      <c r="E150" s="72">
        <f t="shared" si="2"/>
        <v>0.76200000000000001</v>
      </c>
      <c r="F150" s="73">
        <v>0.47390997644102073</v>
      </c>
      <c r="G150" s="73"/>
      <c r="H150" s="74"/>
      <c r="J150" s="82"/>
    </row>
    <row r="151" spans="2:10" ht="20.100000000000001" customHeight="1" x14ac:dyDescent="0.3">
      <c r="B151" s="69" t="s">
        <v>1117</v>
      </c>
      <c r="C151" s="70">
        <v>0.80506835677444943</v>
      </c>
      <c r="D151" s="71" t="s">
        <v>967</v>
      </c>
      <c r="E151" s="72">
        <f t="shared" si="2"/>
        <v>0.76200000000000001</v>
      </c>
      <c r="F151" s="73">
        <v>0.36401112846405026</v>
      </c>
      <c r="G151" s="73"/>
      <c r="H151" s="74">
        <v>11</v>
      </c>
      <c r="J151" s="82"/>
    </row>
    <row r="152" spans="2:10" ht="20.100000000000001" customHeight="1" x14ac:dyDescent="0.3">
      <c r="B152" s="69" t="s">
        <v>1118</v>
      </c>
      <c r="C152" s="70">
        <v>0.7671402993539328</v>
      </c>
      <c r="D152" s="71" t="s">
        <v>931</v>
      </c>
      <c r="E152" s="72">
        <f t="shared" si="2"/>
        <v>0.76900000000000002</v>
      </c>
      <c r="F152" s="73">
        <v>0.38196522319548698</v>
      </c>
      <c r="G152" s="73"/>
      <c r="H152" s="74"/>
      <c r="J152" s="82"/>
    </row>
    <row r="153" spans="2:10" ht="20.100000000000001" customHeight="1" x14ac:dyDescent="0.3">
      <c r="B153" s="69" t="s">
        <v>1119</v>
      </c>
      <c r="C153" s="70">
        <v>0.70091859251888755</v>
      </c>
      <c r="D153" s="71" t="s">
        <v>967</v>
      </c>
      <c r="E153" s="72">
        <f t="shared" si="2"/>
        <v>0.76200000000000001</v>
      </c>
      <c r="F153" s="73">
        <v>0.61495417038711686</v>
      </c>
      <c r="G153" s="73" t="s">
        <v>1488</v>
      </c>
      <c r="H153" s="74">
        <v>11</v>
      </c>
      <c r="J153" s="82"/>
    </row>
    <row r="154" spans="2:10" ht="20.100000000000001" customHeight="1" x14ac:dyDescent="0.3">
      <c r="B154" s="69" t="s">
        <v>1120</v>
      </c>
      <c r="C154" s="70">
        <v>0.74443783452763557</v>
      </c>
      <c r="D154" s="71" t="s">
        <v>934</v>
      </c>
      <c r="E154" s="72">
        <f t="shared" si="2"/>
        <v>0.68799999999999994</v>
      </c>
      <c r="F154" s="73">
        <v>0.56833168455142036</v>
      </c>
      <c r="G154" s="73" t="s">
        <v>1488</v>
      </c>
      <c r="H154" s="74"/>
      <c r="J154" s="82"/>
    </row>
    <row r="155" spans="2:10" ht="20.100000000000001" customHeight="1" x14ac:dyDescent="0.3">
      <c r="B155" s="69" t="s">
        <v>1121</v>
      </c>
      <c r="C155" s="70">
        <v>0.74920069774008813</v>
      </c>
      <c r="D155" s="77" t="s">
        <v>952</v>
      </c>
      <c r="E155" s="72">
        <f t="shared" si="2"/>
        <v>0.72599999999999998</v>
      </c>
      <c r="F155" s="73">
        <v>0.35097354140806492</v>
      </c>
      <c r="G155" s="73"/>
      <c r="H155" s="74">
        <v>9</v>
      </c>
      <c r="J155" s="82"/>
    </row>
    <row r="156" spans="2:10" ht="20.100000000000001" customHeight="1" x14ac:dyDescent="0.3">
      <c r="B156" s="69" t="s">
        <v>1122</v>
      </c>
      <c r="C156" s="70">
        <v>0.67213674416106639</v>
      </c>
      <c r="D156" s="77" t="s">
        <v>996</v>
      </c>
      <c r="E156" s="72">
        <f t="shared" si="2"/>
        <v>0.68300000000000005</v>
      </c>
      <c r="F156" s="73">
        <v>0.70162999395012471</v>
      </c>
      <c r="G156" s="73" t="s">
        <v>1488</v>
      </c>
      <c r="H156" s="74">
        <v>4</v>
      </c>
      <c r="J156" s="82"/>
    </row>
    <row r="157" spans="2:10" ht="20.100000000000001" customHeight="1" x14ac:dyDescent="0.3">
      <c r="B157" s="69" t="s">
        <v>1123</v>
      </c>
      <c r="C157" s="70">
        <v>0.78400000000000003</v>
      </c>
      <c r="D157" s="77" t="s">
        <v>937</v>
      </c>
      <c r="E157" s="72">
        <f t="shared" si="2"/>
        <v>0.68300000000000005</v>
      </c>
      <c r="F157" s="73">
        <v>0.4304</v>
      </c>
      <c r="G157" s="73"/>
      <c r="H157" s="74"/>
      <c r="J157" s="82"/>
    </row>
    <row r="158" spans="2:10" ht="20.100000000000001" customHeight="1" x14ac:dyDescent="0.3">
      <c r="B158" s="69" t="s">
        <v>1124</v>
      </c>
      <c r="C158" s="70">
        <v>0.79817392100847873</v>
      </c>
      <c r="D158" s="71" t="s">
        <v>967</v>
      </c>
      <c r="E158" s="72">
        <f t="shared" si="2"/>
        <v>0.76200000000000001</v>
      </c>
      <c r="F158" s="73">
        <v>0.32810337667836975</v>
      </c>
      <c r="G158" s="73"/>
      <c r="H158" s="74"/>
      <c r="J158" s="82"/>
    </row>
    <row r="159" spans="2:10" ht="20.100000000000001" customHeight="1" x14ac:dyDescent="0.3">
      <c r="B159" s="69" t="s">
        <v>1125</v>
      </c>
      <c r="C159" s="70">
        <v>0.76590029252252168</v>
      </c>
      <c r="D159" s="71" t="s">
        <v>964</v>
      </c>
      <c r="E159" s="72">
        <f t="shared" si="2"/>
        <v>0.73499999999999999</v>
      </c>
      <c r="F159" s="73">
        <v>0.38665175874118252</v>
      </c>
      <c r="G159" s="73"/>
      <c r="H159" s="74"/>
      <c r="J159" s="82"/>
    </row>
    <row r="160" spans="2:10" ht="20.100000000000001" customHeight="1" x14ac:dyDescent="0.3">
      <c r="B160" s="69" t="s">
        <v>1126</v>
      </c>
      <c r="C160" s="70">
        <v>0.76336249147815627</v>
      </c>
      <c r="D160" s="71" t="s">
        <v>964</v>
      </c>
      <c r="E160" s="72">
        <f t="shared" si="2"/>
        <v>0.73499999999999999</v>
      </c>
      <c r="F160" s="73">
        <v>0.3449189229627001</v>
      </c>
      <c r="G160" s="73"/>
      <c r="H160" s="74"/>
      <c r="J160" s="82"/>
    </row>
    <row r="161" spans="2:10" ht="20.100000000000001" customHeight="1" x14ac:dyDescent="0.3">
      <c r="B161" s="69" t="s">
        <v>1127</v>
      </c>
      <c r="C161" s="70">
        <v>0.79186568477131414</v>
      </c>
      <c r="D161" s="71" t="s">
        <v>955</v>
      </c>
      <c r="E161" s="72">
        <f t="shared" si="2"/>
        <v>0.73799999999999999</v>
      </c>
      <c r="F161" s="73">
        <v>0.33245511739405786</v>
      </c>
      <c r="G161" s="73"/>
      <c r="H161" s="74"/>
      <c r="J161" s="82"/>
    </row>
    <row r="162" spans="2:10" ht="20.100000000000001" customHeight="1" x14ac:dyDescent="0.3">
      <c r="B162" s="69" t="s">
        <v>1128</v>
      </c>
      <c r="C162" s="70">
        <v>0.73900649617813308</v>
      </c>
      <c r="D162" s="71" t="s">
        <v>977</v>
      </c>
      <c r="E162" s="72">
        <f t="shared" si="2"/>
        <v>0.73699999999999999</v>
      </c>
      <c r="F162" s="73">
        <v>0.48158305240192245</v>
      </c>
      <c r="G162" s="73" t="s">
        <v>1486</v>
      </c>
      <c r="H162" s="74">
        <v>1</v>
      </c>
      <c r="J162" s="82"/>
    </row>
    <row r="163" spans="2:10" ht="20.100000000000001" customHeight="1" x14ac:dyDescent="0.3">
      <c r="B163" s="69" t="s">
        <v>1129</v>
      </c>
      <c r="C163" s="70">
        <v>0.7679857274883829</v>
      </c>
      <c r="D163" s="71" t="s">
        <v>1019</v>
      </c>
      <c r="E163" s="72">
        <f t="shared" si="2"/>
        <v>0.72499999999999998</v>
      </c>
      <c r="F163" s="73">
        <v>0.40531571520603826</v>
      </c>
      <c r="G163" s="73"/>
      <c r="H163" s="74">
        <v>1</v>
      </c>
      <c r="J163" s="82"/>
    </row>
    <row r="164" spans="2:10" ht="20.100000000000001" customHeight="1" x14ac:dyDescent="0.3">
      <c r="B164" s="69" t="s">
        <v>1130</v>
      </c>
      <c r="C164" s="70">
        <v>0.79301577934350465</v>
      </c>
      <c r="D164" s="71" t="s">
        <v>958</v>
      </c>
      <c r="E164" s="72">
        <f t="shared" si="2"/>
        <v>0.79600000000000004</v>
      </c>
      <c r="F164" s="73">
        <v>0.37887690677053443</v>
      </c>
      <c r="G164" s="73"/>
      <c r="H164" s="74"/>
      <c r="J164" s="82"/>
    </row>
    <row r="165" spans="2:10" ht="20.100000000000001" customHeight="1" x14ac:dyDescent="0.3">
      <c r="B165" s="69" t="s">
        <v>1131</v>
      </c>
      <c r="C165" s="70">
        <v>0.82531026219361991</v>
      </c>
      <c r="D165" s="71" t="s">
        <v>958</v>
      </c>
      <c r="E165" s="72">
        <f t="shared" si="2"/>
        <v>0.79600000000000004</v>
      </c>
      <c r="F165" s="73">
        <v>0.22832571761631981</v>
      </c>
      <c r="G165" s="73"/>
      <c r="H165" s="74"/>
      <c r="J165" s="82"/>
    </row>
    <row r="166" spans="2:10" ht="20.100000000000001" customHeight="1" x14ac:dyDescent="0.3">
      <c r="B166" s="69" t="s">
        <v>1132</v>
      </c>
      <c r="C166" s="70">
        <v>0.75029828240367347</v>
      </c>
      <c r="D166" s="77" t="s">
        <v>917</v>
      </c>
      <c r="E166" s="72">
        <f t="shared" si="2"/>
        <v>0.70599999999999996</v>
      </c>
      <c r="F166" s="73">
        <v>0.5330591623919827</v>
      </c>
      <c r="G166" s="73" t="s">
        <v>1486</v>
      </c>
      <c r="H166" s="74" t="s">
        <v>992</v>
      </c>
      <c r="J166" s="82"/>
    </row>
    <row r="167" spans="2:10" ht="20.100000000000001" customHeight="1" x14ac:dyDescent="0.3">
      <c r="B167" s="69" t="s">
        <v>1133</v>
      </c>
      <c r="C167" s="70">
        <v>0.68187620859744835</v>
      </c>
      <c r="D167" s="71" t="s">
        <v>967</v>
      </c>
      <c r="E167" s="72">
        <f t="shared" si="2"/>
        <v>0.76200000000000001</v>
      </c>
      <c r="F167" s="73">
        <v>0.57872493372617262</v>
      </c>
      <c r="G167" s="73" t="s">
        <v>1488</v>
      </c>
      <c r="H167" s="74"/>
      <c r="J167" s="82"/>
    </row>
    <row r="168" spans="2:10" ht="20.100000000000001" customHeight="1" x14ac:dyDescent="0.3">
      <c r="B168" s="69" t="s">
        <v>1134</v>
      </c>
      <c r="C168" s="70">
        <v>0.70461657846974635</v>
      </c>
      <c r="D168" s="71" t="s">
        <v>955</v>
      </c>
      <c r="E168" s="72">
        <f t="shared" si="2"/>
        <v>0.73799999999999999</v>
      </c>
      <c r="F168" s="73">
        <v>0.45481220240140197</v>
      </c>
      <c r="G168" s="73"/>
      <c r="H168" s="74"/>
      <c r="J168" s="82"/>
    </row>
    <row r="169" spans="2:10" ht="20.100000000000001" customHeight="1" x14ac:dyDescent="0.3">
      <c r="B169" s="69" t="s">
        <v>1135</v>
      </c>
      <c r="C169" s="70">
        <v>0.77357816115357469</v>
      </c>
      <c r="D169" s="71" t="s">
        <v>940</v>
      </c>
      <c r="E169" s="72">
        <f t="shared" si="2"/>
        <v>0.73399999999999999</v>
      </c>
      <c r="F169" s="73">
        <v>0.39653562388252062</v>
      </c>
      <c r="G169" s="73"/>
      <c r="H169" s="74">
        <v>4</v>
      </c>
      <c r="J169" s="82"/>
    </row>
    <row r="170" spans="2:10" ht="20.100000000000001" customHeight="1" x14ac:dyDescent="0.3">
      <c r="B170" s="69" t="s">
        <v>1136</v>
      </c>
      <c r="C170" s="70">
        <v>0.81693442140482841</v>
      </c>
      <c r="D170" s="71" t="s">
        <v>958</v>
      </c>
      <c r="E170" s="72">
        <f t="shared" si="2"/>
        <v>0.79600000000000004</v>
      </c>
      <c r="F170" s="73">
        <v>0.21851640696441033</v>
      </c>
      <c r="G170" s="73"/>
      <c r="H170" s="74">
        <v>3</v>
      </c>
      <c r="J170" s="82"/>
    </row>
    <row r="171" spans="2:10" ht="20.100000000000001" customHeight="1" x14ac:dyDescent="0.3">
      <c r="B171" s="69" t="s">
        <v>1137</v>
      </c>
      <c r="C171" s="70">
        <v>0.71291364718052674</v>
      </c>
      <c r="D171" s="71" t="s">
        <v>967</v>
      </c>
      <c r="E171" s="72">
        <f t="shared" si="2"/>
        <v>0.76200000000000001</v>
      </c>
      <c r="F171" s="73">
        <v>0.49615967495515911</v>
      </c>
      <c r="G171" s="73"/>
      <c r="H171" s="74"/>
      <c r="J171" s="82"/>
    </row>
    <row r="172" spans="2:10" ht="20.100000000000001" customHeight="1" x14ac:dyDescent="0.3">
      <c r="B172" s="69" t="s">
        <v>1138</v>
      </c>
      <c r="C172" s="70">
        <v>0.68</v>
      </c>
      <c r="D172" s="77" t="s">
        <v>937</v>
      </c>
      <c r="E172" s="72">
        <f t="shared" si="2"/>
        <v>0.68300000000000005</v>
      </c>
      <c r="F172" s="73">
        <v>0.61270000000000002</v>
      </c>
      <c r="G172" s="73"/>
      <c r="H172" s="74"/>
      <c r="J172" s="82"/>
    </row>
    <row r="173" spans="2:10" ht="20.100000000000001" customHeight="1" x14ac:dyDescent="0.3">
      <c r="B173" s="69" t="s">
        <v>1139</v>
      </c>
      <c r="C173" s="70">
        <v>0.72452702988020101</v>
      </c>
      <c r="D173" s="77" t="s">
        <v>917</v>
      </c>
      <c r="E173" s="72">
        <f t="shared" si="2"/>
        <v>0.70599999999999996</v>
      </c>
      <c r="F173" s="73">
        <v>0.56123316456656991</v>
      </c>
      <c r="G173" s="73" t="s">
        <v>1486</v>
      </c>
      <c r="H173" s="74">
        <v>4</v>
      </c>
      <c r="J173" s="82"/>
    </row>
    <row r="174" spans="2:10" ht="20.100000000000001" customHeight="1" x14ac:dyDescent="0.3">
      <c r="B174" s="69" t="s">
        <v>1140</v>
      </c>
      <c r="C174" s="70">
        <v>0.71534410313641428</v>
      </c>
      <c r="D174" s="71" t="s">
        <v>955</v>
      </c>
      <c r="E174" s="72">
        <f t="shared" si="2"/>
        <v>0.73799999999999999</v>
      </c>
      <c r="F174" s="73">
        <v>0.55916591807258265</v>
      </c>
      <c r="G174" s="73"/>
      <c r="H174" s="74" t="s">
        <v>1141</v>
      </c>
      <c r="J174" s="82"/>
    </row>
    <row r="175" spans="2:10" ht="20.100000000000001" customHeight="1" x14ac:dyDescent="0.3">
      <c r="B175" s="69" t="s">
        <v>1142</v>
      </c>
      <c r="C175" s="70">
        <v>0.83310610910012206</v>
      </c>
      <c r="D175" s="77" t="s">
        <v>1009</v>
      </c>
      <c r="E175" s="72">
        <f t="shared" si="2"/>
        <v>0.80900000000000005</v>
      </c>
      <c r="F175" s="73">
        <v>0.30241580521828959</v>
      </c>
      <c r="G175" s="73"/>
      <c r="H175" s="74"/>
      <c r="J175" s="82"/>
    </row>
    <row r="176" spans="2:10" ht="20.100000000000001" customHeight="1" x14ac:dyDescent="0.3">
      <c r="B176" s="69" t="s">
        <v>1143</v>
      </c>
      <c r="C176" s="70">
        <v>0.78421545475651189</v>
      </c>
      <c r="D176" s="71" t="s">
        <v>934</v>
      </c>
      <c r="E176" s="72">
        <f t="shared" si="2"/>
        <v>0.68799999999999994</v>
      </c>
      <c r="F176" s="73">
        <v>0.52102641408750172</v>
      </c>
      <c r="G176" s="73" t="s">
        <v>1488</v>
      </c>
      <c r="H176" s="74"/>
      <c r="J176" s="82"/>
    </row>
    <row r="177" spans="2:10" ht="20.100000000000001" customHeight="1" x14ac:dyDescent="0.3">
      <c r="B177" s="69" t="s">
        <v>1144</v>
      </c>
      <c r="C177" s="70">
        <v>0.82885544023841551</v>
      </c>
      <c r="D177" s="71" t="s">
        <v>958</v>
      </c>
      <c r="E177" s="72">
        <f t="shared" si="2"/>
        <v>0.79600000000000004</v>
      </c>
      <c r="F177" s="73">
        <v>0.20190942404485235</v>
      </c>
      <c r="G177" s="73"/>
      <c r="H177" s="74"/>
      <c r="J177" s="82"/>
    </row>
    <row r="178" spans="2:10" ht="20.100000000000001" customHeight="1" x14ac:dyDescent="0.3">
      <c r="B178" s="69" t="s">
        <v>1145</v>
      </c>
      <c r="C178" s="70">
        <v>0.72334448675624652</v>
      </c>
      <c r="D178" s="71" t="s">
        <v>1019</v>
      </c>
      <c r="E178" s="72">
        <f t="shared" si="2"/>
        <v>0.72499999999999998</v>
      </c>
      <c r="F178" s="73">
        <v>0.59758848832380473</v>
      </c>
      <c r="G178" s="73" t="s">
        <v>1487</v>
      </c>
      <c r="H178" s="74"/>
      <c r="J178" s="82"/>
    </row>
    <row r="179" spans="2:10" ht="20.100000000000001" customHeight="1" x14ac:dyDescent="0.3">
      <c r="B179" s="69" t="s">
        <v>1146</v>
      </c>
      <c r="C179" s="70">
        <v>0.77889075895801074</v>
      </c>
      <c r="D179" s="71" t="s">
        <v>967</v>
      </c>
      <c r="E179" s="72">
        <f t="shared" si="2"/>
        <v>0.76200000000000001</v>
      </c>
      <c r="F179" s="73">
        <v>0.40057089588415173</v>
      </c>
      <c r="G179" s="73"/>
      <c r="H179" s="74"/>
      <c r="J179" s="82"/>
    </row>
    <row r="180" spans="2:10" ht="20.100000000000001" customHeight="1" x14ac:dyDescent="0.3">
      <c r="B180" s="69" t="s">
        <v>1147</v>
      </c>
      <c r="C180" s="70">
        <v>0.66209612751075264</v>
      </c>
      <c r="D180" s="71" t="s">
        <v>977</v>
      </c>
      <c r="E180" s="72">
        <f t="shared" si="2"/>
        <v>0.73699999999999999</v>
      </c>
      <c r="F180" s="73">
        <v>0.56463175849060787</v>
      </c>
      <c r="G180" s="73" t="s">
        <v>1486</v>
      </c>
      <c r="H180" s="74">
        <v>5</v>
      </c>
      <c r="J180" s="82"/>
    </row>
    <row r="181" spans="2:10" ht="20.100000000000001" customHeight="1" x14ac:dyDescent="0.3">
      <c r="B181" s="69" t="s">
        <v>1148</v>
      </c>
      <c r="C181" s="70">
        <v>0.74384363811568455</v>
      </c>
      <c r="D181" s="71" t="s">
        <v>931</v>
      </c>
      <c r="E181" s="72">
        <f t="shared" si="2"/>
        <v>0.76900000000000002</v>
      </c>
      <c r="F181" s="73">
        <v>0.34210320727873489</v>
      </c>
      <c r="G181" s="73"/>
      <c r="H181" s="74">
        <v>5</v>
      </c>
      <c r="J181" s="82"/>
    </row>
    <row r="182" spans="2:10" ht="20.100000000000001" customHeight="1" x14ac:dyDescent="0.3">
      <c r="B182" s="69" t="s">
        <v>1149</v>
      </c>
      <c r="C182" s="70">
        <v>0.76719091233722692</v>
      </c>
      <c r="D182" s="71" t="s">
        <v>967</v>
      </c>
      <c r="E182" s="72">
        <f t="shared" si="2"/>
        <v>0.76200000000000001</v>
      </c>
      <c r="F182" s="73">
        <v>0.45219179599929094</v>
      </c>
      <c r="G182" s="73"/>
      <c r="H182" s="74"/>
      <c r="J182" s="82"/>
    </row>
    <row r="183" spans="2:10" ht="20.100000000000001" customHeight="1" x14ac:dyDescent="0.3">
      <c r="B183" s="69" t="s">
        <v>1150</v>
      </c>
      <c r="C183" s="70">
        <v>0.75247144620367212</v>
      </c>
      <c r="D183" s="71" t="s">
        <v>1019</v>
      </c>
      <c r="E183" s="72">
        <f t="shared" si="2"/>
        <v>0.72499999999999998</v>
      </c>
      <c r="F183" s="73">
        <v>0.50361591305482611</v>
      </c>
      <c r="G183" s="73"/>
      <c r="H183" s="74"/>
      <c r="J183" s="82"/>
    </row>
    <row r="184" spans="2:10" ht="20.100000000000001" customHeight="1" x14ac:dyDescent="0.3">
      <c r="B184" s="69" t="s">
        <v>1151</v>
      </c>
      <c r="C184" s="70">
        <v>0.75015002227776018</v>
      </c>
      <c r="D184" s="71" t="s">
        <v>943</v>
      </c>
      <c r="E184" s="72">
        <f t="shared" si="2"/>
        <v>0.76400000000000001</v>
      </c>
      <c r="F184" s="73">
        <v>0.29112114994194815</v>
      </c>
      <c r="G184" s="73"/>
      <c r="H184" s="74"/>
      <c r="J184" s="82"/>
    </row>
    <row r="185" spans="2:10" ht="20.100000000000001" customHeight="1" x14ac:dyDescent="0.3">
      <c r="B185" s="69" t="s">
        <v>1152</v>
      </c>
      <c r="C185" s="70">
        <v>0.81615095756876221</v>
      </c>
      <c r="D185" s="77" t="s">
        <v>1036</v>
      </c>
      <c r="E185" s="72">
        <f t="shared" si="2"/>
        <v>0.71699999999999997</v>
      </c>
      <c r="F185" s="73">
        <v>0.30648808661988203</v>
      </c>
      <c r="G185" s="73"/>
      <c r="H185" s="74"/>
      <c r="J185" s="82"/>
    </row>
    <row r="186" spans="2:10" ht="20.100000000000001" customHeight="1" x14ac:dyDescent="0.3">
      <c r="B186" s="69" t="s">
        <v>1153</v>
      </c>
      <c r="C186" s="70">
        <v>0.71801788543192857</v>
      </c>
      <c r="D186" s="71" t="s">
        <v>934</v>
      </c>
      <c r="E186" s="72">
        <f t="shared" si="2"/>
        <v>0.68799999999999994</v>
      </c>
      <c r="F186" s="73">
        <v>0.64640512816325435</v>
      </c>
      <c r="G186" s="73" t="s">
        <v>1488</v>
      </c>
      <c r="H186" s="74">
        <v>3</v>
      </c>
      <c r="J186" s="82"/>
    </row>
    <row r="187" spans="2:10" ht="20.100000000000001" customHeight="1" x14ac:dyDescent="0.3">
      <c r="B187" s="69" t="s">
        <v>1154</v>
      </c>
      <c r="C187" s="70">
        <v>0.70199999999999996</v>
      </c>
      <c r="D187" s="77" t="s">
        <v>937</v>
      </c>
      <c r="E187" s="72">
        <f t="shared" si="2"/>
        <v>0.68300000000000005</v>
      </c>
      <c r="F187" s="73">
        <v>0.59570000000000001</v>
      </c>
      <c r="G187" s="73"/>
      <c r="H187" s="74"/>
      <c r="J187" s="82"/>
    </row>
    <row r="188" spans="2:10" ht="20.100000000000001" customHeight="1" x14ac:dyDescent="0.3">
      <c r="B188" s="69" t="s">
        <v>1155</v>
      </c>
      <c r="C188" s="70">
        <v>0.72605397050850828</v>
      </c>
      <c r="D188" s="71" t="s">
        <v>943</v>
      </c>
      <c r="E188" s="72">
        <f t="shared" si="2"/>
        <v>0.76400000000000001</v>
      </c>
      <c r="F188" s="73">
        <v>0.31112180641191939</v>
      </c>
      <c r="G188" s="73"/>
      <c r="H188" s="74">
        <v>9</v>
      </c>
      <c r="J188" s="82"/>
    </row>
    <row r="189" spans="2:10" ht="20.100000000000001" customHeight="1" x14ac:dyDescent="0.3">
      <c r="B189" s="69" t="s">
        <v>1156</v>
      </c>
      <c r="C189" s="70">
        <v>0.84464866679352291</v>
      </c>
      <c r="D189" s="71" t="s">
        <v>958</v>
      </c>
      <c r="E189" s="72">
        <f t="shared" si="2"/>
        <v>0.79600000000000004</v>
      </c>
      <c r="F189" s="73">
        <v>0.30219029647490658</v>
      </c>
      <c r="G189" s="73"/>
      <c r="H189" s="74"/>
      <c r="J189" s="82"/>
    </row>
    <row r="190" spans="2:10" ht="20.100000000000001" customHeight="1" x14ac:dyDescent="0.3">
      <c r="B190" s="69" t="s">
        <v>1157</v>
      </c>
      <c r="C190" s="70">
        <v>0.76039706770006266</v>
      </c>
      <c r="D190" s="71" t="s">
        <v>943</v>
      </c>
      <c r="E190" s="72">
        <f t="shared" si="2"/>
        <v>0.76400000000000001</v>
      </c>
      <c r="F190" s="73">
        <v>0.23712685190662555</v>
      </c>
      <c r="G190" s="73"/>
      <c r="H190" s="74"/>
      <c r="J190" s="82"/>
    </row>
    <row r="191" spans="2:10" ht="20.100000000000001" customHeight="1" x14ac:dyDescent="0.3">
      <c r="B191" s="69" t="s">
        <v>1158</v>
      </c>
      <c r="C191" s="70">
        <v>0.79713123050384205</v>
      </c>
      <c r="D191" s="71" t="s">
        <v>958</v>
      </c>
      <c r="E191" s="72">
        <f t="shared" si="2"/>
        <v>0.79600000000000004</v>
      </c>
      <c r="F191" s="73">
        <v>0.34029907746884358</v>
      </c>
      <c r="G191" s="73"/>
      <c r="H191" s="74"/>
      <c r="J191" s="82"/>
    </row>
    <row r="192" spans="2:10" ht="20.100000000000001" customHeight="1" x14ac:dyDescent="0.3">
      <c r="B192" s="69" t="s">
        <v>1159</v>
      </c>
      <c r="C192" s="70">
        <v>0.74238040784498704</v>
      </c>
      <c r="D192" s="71" t="s">
        <v>1019</v>
      </c>
      <c r="E192" s="72">
        <f t="shared" si="2"/>
        <v>0.72499999999999998</v>
      </c>
      <c r="F192" s="73">
        <v>0.5188704600316475</v>
      </c>
      <c r="G192" s="73" t="s">
        <v>1488</v>
      </c>
      <c r="H192" s="74">
        <v>9</v>
      </c>
      <c r="J192" s="82"/>
    </row>
    <row r="193" spans="2:10" ht="20.100000000000001" customHeight="1" x14ac:dyDescent="0.3">
      <c r="B193" s="69" t="s">
        <v>1160</v>
      </c>
      <c r="C193" s="70">
        <v>0.80315718330162389</v>
      </c>
      <c r="D193" s="71" t="s">
        <v>940</v>
      </c>
      <c r="E193" s="72">
        <f t="shared" si="2"/>
        <v>0.73399999999999999</v>
      </c>
      <c r="F193" s="73">
        <v>0.36044628900478992</v>
      </c>
      <c r="G193" s="73"/>
      <c r="H193" s="74"/>
      <c r="J193" s="82"/>
    </row>
    <row r="194" spans="2:10" ht="20.100000000000001" customHeight="1" x14ac:dyDescent="0.3">
      <c r="B194" s="69" t="s">
        <v>1161</v>
      </c>
      <c r="C194" s="70">
        <v>0.67711109262575486</v>
      </c>
      <c r="D194" s="71" t="s">
        <v>946</v>
      </c>
      <c r="E194" s="72">
        <f t="shared" si="2"/>
        <v>0.67200000000000004</v>
      </c>
      <c r="F194" s="73">
        <v>0.70274228315481457</v>
      </c>
      <c r="G194" s="73" t="s">
        <v>1487</v>
      </c>
      <c r="H194" s="74"/>
      <c r="J194" s="82"/>
    </row>
    <row r="195" spans="2:10" ht="20.100000000000001" customHeight="1" x14ac:dyDescent="0.3">
      <c r="B195" s="69" t="s">
        <v>1162</v>
      </c>
      <c r="C195" s="70">
        <v>0.66068072994060367</v>
      </c>
      <c r="D195" s="71" t="s">
        <v>977</v>
      </c>
      <c r="E195" s="72">
        <f t="shared" si="2"/>
        <v>0.73699999999999999</v>
      </c>
      <c r="F195" s="73">
        <v>0.58556471048771941</v>
      </c>
      <c r="G195" s="73" t="s">
        <v>1486</v>
      </c>
      <c r="H195" s="74">
        <v>4</v>
      </c>
      <c r="J195" s="82"/>
    </row>
    <row r="196" spans="2:10" ht="20.100000000000001" customHeight="1" x14ac:dyDescent="0.3">
      <c r="B196" s="69" t="s">
        <v>1163</v>
      </c>
      <c r="C196" s="70">
        <v>0.82197836165531368</v>
      </c>
      <c r="D196" s="77" t="s">
        <v>923</v>
      </c>
      <c r="E196" s="72">
        <f t="shared" ref="E196:E259" si="3">VLOOKUP(D196,$J$5:$K$32,2,0)</f>
        <v>0.748</v>
      </c>
      <c r="F196" s="73">
        <v>0.3168584840803107</v>
      </c>
      <c r="G196" s="73"/>
      <c r="H196" s="74"/>
      <c r="J196" s="82"/>
    </row>
    <row r="197" spans="2:10" ht="20.100000000000001" customHeight="1" x14ac:dyDescent="0.3">
      <c r="B197" s="69" t="s">
        <v>1164</v>
      </c>
      <c r="C197" s="70">
        <v>0.71726381936449313</v>
      </c>
      <c r="D197" s="77" t="s">
        <v>911</v>
      </c>
      <c r="E197" s="72">
        <f t="shared" si="3"/>
        <v>0.67400000000000004</v>
      </c>
      <c r="F197" s="73">
        <v>0.57782232648377585</v>
      </c>
      <c r="G197" s="73" t="s">
        <v>1487</v>
      </c>
      <c r="H197" s="74"/>
      <c r="J197" s="82"/>
    </row>
    <row r="198" spans="2:10" ht="20.100000000000001" customHeight="1" x14ac:dyDescent="0.3">
      <c r="B198" s="69" t="s">
        <v>1165</v>
      </c>
      <c r="C198" s="70">
        <v>0.76637525275584428</v>
      </c>
      <c r="D198" s="77" t="s">
        <v>996</v>
      </c>
      <c r="E198" s="72">
        <f t="shared" si="3"/>
        <v>0.68300000000000005</v>
      </c>
      <c r="F198" s="73">
        <v>0.59693264321233563</v>
      </c>
      <c r="G198" s="73" t="s">
        <v>1488</v>
      </c>
      <c r="H198" s="74"/>
      <c r="J198" s="82"/>
    </row>
    <row r="199" spans="2:10" ht="20.100000000000001" customHeight="1" x14ac:dyDescent="0.3">
      <c r="B199" s="69" t="s">
        <v>1166</v>
      </c>
      <c r="C199" s="70">
        <v>0.70081760573620633</v>
      </c>
      <c r="D199" s="71" t="s">
        <v>977</v>
      </c>
      <c r="E199" s="72">
        <f t="shared" si="3"/>
        <v>0.73699999999999999</v>
      </c>
      <c r="F199" s="73">
        <v>0.58506836639185755</v>
      </c>
      <c r="G199" s="73" t="s">
        <v>1486</v>
      </c>
      <c r="H199" s="74"/>
      <c r="J199" s="82"/>
    </row>
    <row r="200" spans="2:10" ht="20.100000000000001" customHeight="1" x14ac:dyDescent="0.3">
      <c r="B200" s="69" t="s">
        <v>1167</v>
      </c>
      <c r="C200" s="70">
        <v>0.79945911762757138</v>
      </c>
      <c r="D200" s="71" t="s">
        <v>914</v>
      </c>
      <c r="E200" s="72">
        <f t="shared" si="3"/>
        <v>0.73699999999999999</v>
      </c>
      <c r="F200" s="73">
        <v>0.38731160452131519</v>
      </c>
      <c r="G200" s="73"/>
      <c r="H200" s="74"/>
      <c r="J200" s="82"/>
    </row>
    <row r="201" spans="2:10" ht="20.100000000000001" customHeight="1" x14ac:dyDescent="0.3">
      <c r="B201" s="69" t="s">
        <v>1168</v>
      </c>
      <c r="C201" s="70">
        <v>0.75317357873444257</v>
      </c>
      <c r="D201" s="71" t="s">
        <v>914</v>
      </c>
      <c r="E201" s="72">
        <f t="shared" si="3"/>
        <v>0.73699999999999999</v>
      </c>
      <c r="F201" s="73">
        <v>0.45043945965656174</v>
      </c>
      <c r="G201" s="73"/>
      <c r="H201" s="74"/>
      <c r="J201" s="82"/>
    </row>
    <row r="202" spans="2:10" ht="20.100000000000001" customHeight="1" x14ac:dyDescent="0.3">
      <c r="B202" s="69" t="s">
        <v>1169</v>
      </c>
      <c r="C202" s="70">
        <v>0.69899999999999995</v>
      </c>
      <c r="D202" s="77" t="s">
        <v>937</v>
      </c>
      <c r="E202" s="72">
        <f t="shared" si="3"/>
        <v>0.68300000000000005</v>
      </c>
      <c r="F202" s="73">
        <v>0.55100000000000005</v>
      </c>
      <c r="G202" s="73"/>
      <c r="H202" s="74"/>
      <c r="J202" s="82"/>
    </row>
    <row r="203" spans="2:10" ht="20.100000000000001" customHeight="1" x14ac:dyDescent="0.3">
      <c r="B203" s="69" t="s">
        <v>1170</v>
      </c>
      <c r="C203" s="70">
        <v>0.80832412286412081</v>
      </c>
      <c r="D203" s="77" t="s">
        <v>1009</v>
      </c>
      <c r="E203" s="72">
        <f t="shared" si="3"/>
        <v>0.80900000000000005</v>
      </c>
      <c r="F203" s="73">
        <v>0.34365551121218607</v>
      </c>
      <c r="G203" s="73"/>
      <c r="H203" s="74">
        <v>5</v>
      </c>
      <c r="J203" s="82"/>
    </row>
    <row r="204" spans="2:10" ht="20.100000000000001" customHeight="1" x14ac:dyDescent="0.3">
      <c r="B204" s="69" t="s">
        <v>1171</v>
      </c>
      <c r="C204" s="70">
        <v>0.76301458197184058</v>
      </c>
      <c r="D204" s="71" t="s">
        <v>1172</v>
      </c>
      <c r="E204" s="72">
        <f t="shared" si="3"/>
        <v>0.68</v>
      </c>
      <c r="F204" s="73">
        <v>0.3205686860430399</v>
      </c>
      <c r="G204" s="73"/>
      <c r="H204" s="74"/>
      <c r="J204" s="82"/>
    </row>
    <row r="205" spans="2:10" ht="20.100000000000001" customHeight="1" x14ac:dyDescent="0.3">
      <c r="B205" s="69" t="s">
        <v>1173</v>
      </c>
      <c r="C205" s="70">
        <v>0.80634701106271156</v>
      </c>
      <c r="D205" s="71" t="s">
        <v>920</v>
      </c>
      <c r="E205" s="72">
        <f t="shared" si="3"/>
        <v>0.76600000000000001</v>
      </c>
      <c r="F205" s="73">
        <v>0.44604760884605754</v>
      </c>
      <c r="G205" s="73"/>
      <c r="H205" s="74">
        <v>4</v>
      </c>
      <c r="J205" s="82"/>
    </row>
    <row r="206" spans="2:10" ht="20.100000000000001" customHeight="1" x14ac:dyDescent="0.3">
      <c r="B206" s="69" t="s">
        <v>1174</v>
      </c>
      <c r="C206" s="70">
        <v>0.7792702284352524</v>
      </c>
      <c r="D206" s="71" t="s">
        <v>955</v>
      </c>
      <c r="E206" s="72">
        <f t="shared" si="3"/>
        <v>0.73799999999999999</v>
      </c>
      <c r="F206" s="73">
        <v>0.45173666757719777</v>
      </c>
      <c r="G206" s="73"/>
      <c r="H206" s="74"/>
      <c r="J206" s="82"/>
    </row>
    <row r="207" spans="2:10" ht="20.100000000000001" customHeight="1" x14ac:dyDescent="0.3">
      <c r="B207" s="69" t="s">
        <v>1175</v>
      </c>
      <c r="C207" s="70">
        <v>0.68475396631291596</v>
      </c>
      <c r="D207" s="71" t="s">
        <v>974</v>
      </c>
      <c r="E207" s="72">
        <f t="shared" si="3"/>
        <v>0.64800000000000002</v>
      </c>
      <c r="F207" s="73">
        <v>0.60581136793855295</v>
      </c>
      <c r="G207" s="73"/>
      <c r="H207" s="74"/>
      <c r="J207" s="82"/>
    </row>
    <row r="208" spans="2:10" ht="20.100000000000001" customHeight="1" x14ac:dyDescent="0.3">
      <c r="B208" s="69" t="s">
        <v>1176</v>
      </c>
      <c r="C208" s="70">
        <v>0.80589769597791594</v>
      </c>
      <c r="D208" s="71" t="s">
        <v>955</v>
      </c>
      <c r="E208" s="72">
        <f t="shared" si="3"/>
        <v>0.73799999999999999</v>
      </c>
      <c r="F208" s="73">
        <v>0.22382110221074913</v>
      </c>
      <c r="G208" s="73"/>
      <c r="H208" s="74"/>
      <c r="J208" s="82"/>
    </row>
    <row r="209" spans="2:10" ht="20.100000000000001" customHeight="1" x14ac:dyDescent="0.3">
      <c r="B209" s="69" t="s">
        <v>1177</v>
      </c>
      <c r="C209" s="70">
        <v>0.75329059076623661</v>
      </c>
      <c r="D209" s="77" t="s">
        <v>923</v>
      </c>
      <c r="E209" s="72">
        <f t="shared" si="3"/>
        <v>0.748</v>
      </c>
      <c r="F209" s="73">
        <v>0.51689051178324674</v>
      </c>
      <c r="G209" s="73" t="s">
        <v>1488</v>
      </c>
      <c r="H209" s="74"/>
      <c r="J209" s="82"/>
    </row>
    <row r="210" spans="2:10" ht="20.100000000000001" customHeight="1" x14ac:dyDescent="0.3">
      <c r="B210" s="69" t="s">
        <v>1178</v>
      </c>
      <c r="C210" s="70">
        <v>0.70182497075804884</v>
      </c>
      <c r="D210" s="77" t="s">
        <v>996</v>
      </c>
      <c r="E210" s="72">
        <f t="shared" si="3"/>
        <v>0.68300000000000005</v>
      </c>
      <c r="F210" s="73">
        <v>0.62026073640803325</v>
      </c>
      <c r="G210" s="73" t="s">
        <v>1488</v>
      </c>
      <c r="H210" s="74"/>
      <c r="J210" s="82"/>
    </row>
    <row r="211" spans="2:10" ht="20.100000000000001" customHeight="1" x14ac:dyDescent="0.3">
      <c r="B211" s="69" t="s">
        <v>1179</v>
      </c>
      <c r="C211" s="70">
        <v>0.77837967591089297</v>
      </c>
      <c r="D211" s="77" t="s">
        <v>952</v>
      </c>
      <c r="E211" s="72">
        <f t="shared" si="3"/>
        <v>0.72599999999999998</v>
      </c>
      <c r="F211" s="73">
        <v>0.39602853156434814</v>
      </c>
      <c r="G211" s="73"/>
      <c r="H211" s="74"/>
      <c r="J211" s="82"/>
    </row>
    <row r="212" spans="2:10" ht="20.100000000000001" customHeight="1" x14ac:dyDescent="0.3">
      <c r="B212" s="69" t="s">
        <v>1180</v>
      </c>
      <c r="C212" s="70">
        <v>0.84191509353208926</v>
      </c>
      <c r="D212" s="71" t="s">
        <v>967</v>
      </c>
      <c r="E212" s="72">
        <f t="shared" si="3"/>
        <v>0.76200000000000001</v>
      </c>
      <c r="F212" s="73">
        <v>0.34817047061274964</v>
      </c>
      <c r="G212" s="73"/>
      <c r="H212" s="74" t="s">
        <v>949</v>
      </c>
      <c r="J212" s="82"/>
    </row>
    <row r="213" spans="2:10" ht="20.100000000000001" customHeight="1" x14ac:dyDescent="0.3">
      <c r="B213" s="69" t="s">
        <v>1181</v>
      </c>
      <c r="C213" s="70">
        <v>0.71420848639727663</v>
      </c>
      <c r="D213" s="71" t="s">
        <v>934</v>
      </c>
      <c r="E213" s="72">
        <f t="shared" si="3"/>
        <v>0.68799999999999994</v>
      </c>
      <c r="F213" s="73">
        <v>0.6512794029971386</v>
      </c>
      <c r="G213" s="73" t="s">
        <v>1488</v>
      </c>
      <c r="H213" s="74"/>
      <c r="J213" s="82"/>
    </row>
    <row r="214" spans="2:10" ht="20.100000000000001" customHeight="1" x14ac:dyDescent="0.3">
      <c r="B214" s="69" t="s">
        <v>1182</v>
      </c>
      <c r="C214" s="70">
        <v>0.76246210579702323</v>
      </c>
      <c r="D214" s="77" t="s">
        <v>917</v>
      </c>
      <c r="E214" s="72">
        <f t="shared" si="3"/>
        <v>0.70599999999999996</v>
      </c>
      <c r="F214" s="73">
        <v>0.60069255794508525</v>
      </c>
      <c r="G214" s="73" t="s">
        <v>1486</v>
      </c>
      <c r="H214" s="74">
        <v>9</v>
      </c>
      <c r="J214" s="82"/>
    </row>
    <row r="215" spans="2:10" ht="20.100000000000001" customHeight="1" x14ac:dyDescent="0.3">
      <c r="B215" s="69" t="s">
        <v>1183</v>
      </c>
      <c r="C215" s="70">
        <v>0.70402949898994049</v>
      </c>
      <c r="D215" s="77" t="s">
        <v>926</v>
      </c>
      <c r="E215" s="72">
        <f t="shared" si="3"/>
        <v>0.66400000000000003</v>
      </c>
      <c r="F215" s="73">
        <v>0.67502445512678955</v>
      </c>
      <c r="G215" s="73" t="s">
        <v>1487</v>
      </c>
      <c r="H215" s="74"/>
      <c r="J215" s="82"/>
    </row>
    <row r="216" spans="2:10" ht="20.100000000000001" customHeight="1" x14ac:dyDescent="0.3">
      <c r="B216" s="69" t="s">
        <v>1184</v>
      </c>
      <c r="C216" s="70">
        <v>0.72799999999999998</v>
      </c>
      <c r="D216" s="77" t="s">
        <v>937</v>
      </c>
      <c r="E216" s="72">
        <f t="shared" si="3"/>
        <v>0.68300000000000005</v>
      </c>
      <c r="F216" s="73">
        <v>0.53710000000000002</v>
      </c>
      <c r="G216" s="73"/>
      <c r="H216" s="74"/>
      <c r="J216" s="82"/>
    </row>
    <row r="217" spans="2:10" ht="20.100000000000001" customHeight="1" x14ac:dyDescent="0.3">
      <c r="B217" s="69" t="s">
        <v>1185</v>
      </c>
      <c r="C217" s="70">
        <v>0.71420300051716146</v>
      </c>
      <c r="D217" s="77" t="s">
        <v>926</v>
      </c>
      <c r="E217" s="72">
        <f t="shared" si="3"/>
        <v>0.66400000000000003</v>
      </c>
      <c r="F217" s="73">
        <v>0.67821076613816766</v>
      </c>
      <c r="G217" s="73" t="s">
        <v>1487</v>
      </c>
      <c r="H217" s="74"/>
      <c r="J217" s="82"/>
    </row>
    <row r="218" spans="2:10" ht="20.100000000000001" customHeight="1" x14ac:dyDescent="0.3">
      <c r="B218" s="69" t="s">
        <v>1186</v>
      </c>
      <c r="C218" s="70">
        <v>0.7130140096955806</v>
      </c>
      <c r="D218" s="71" t="s">
        <v>974</v>
      </c>
      <c r="E218" s="72">
        <f t="shared" si="3"/>
        <v>0.64800000000000002</v>
      </c>
      <c r="F218" s="73">
        <v>0.56191564396384752</v>
      </c>
      <c r="G218" s="73"/>
      <c r="H218" s="74">
        <v>3</v>
      </c>
      <c r="J218" s="82"/>
    </row>
    <row r="219" spans="2:10" ht="20.100000000000001" customHeight="1" x14ac:dyDescent="0.3">
      <c r="B219" s="69" t="s">
        <v>1187</v>
      </c>
      <c r="C219" s="70">
        <v>0.74354659589017347</v>
      </c>
      <c r="D219" s="71" t="s">
        <v>967</v>
      </c>
      <c r="E219" s="72">
        <f t="shared" si="3"/>
        <v>0.76200000000000001</v>
      </c>
      <c r="F219" s="73">
        <v>0.60423446099315614</v>
      </c>
      <c r="G219" s="73" t="s">
        <v>1488</v>
      </c>
      <c r="H219" s="74"/>
      <c r="J219" s="82"/>
    </row>
    <row r="220" spans="2:10" ht="20.100000000000001" customHeight="1" x14ac:dyDescent="0.3">
      <c r="B220" s="69" t="s">
        <v>1188</v>
      </c>
      <c r="C220" s="70">
        <v>0.75923821053978902</v>
      </c>
      <c r="D220" s="77" t="s">
        <v>917</v>
      </c>
      <c r="E220" s="72">
        <f t="shared" si="3"/>
        <v>0.70599999999999996</v>
      </c>
      <c r="F220" s="73">
        <v>0.56678847735878268</v>
      </c>
      <c r="G220" s="73" t="s">
        <v>1486</v>
      </c>
      <c r="H220" s="74"/>
      <c r="J220" s="82"/>
    </row>
    <row r="221" spans="2:10" ht="20.100000000000001" customHeight="1" x14ac:dyDescent="0.3">
      <c r="B221" s="69" t="s">
        <v>1189</v>
      </c>
      <c r="C221" s="70">
        <v>0.82169646590504375</v>
      </c>
      <c r="D221" s="71" t="s">
        <v>964</v>
      </c>
      <c r="E221" s="72">
        <f t="shared" si="3"/>
        <v>0.73499999999999999</v>
      </c>
      <c r="F221" s="73">
        <v>0.30766177714061127</v>
      </c>
      <c r="G221" s="73"/>
      <c r="H221" s="74">
        <v>3</v>
      </c>
      <c r="J221" s="82"/>
    </row>
    <row r="222" spans="2:10" ht="20.100000000000001" customHeight="1" x14ac:dyDescent="0.3">
      <c r="B222" s="69" t="s">
        <v>1190</v>
      </c>
      <c r="C222" s="70">
        <v>0.6678409159976646</v>
      </c>
      <c r="D222" s="71" t="s">
        <v>1001</v>
      </c>
      <c r="E222" s="72">
        <f t="shared" si="3"/>
        <v>0.72399999999999998</v>
      </c>
      <c r="F222" s="73">
        <v>0.62412287102211217</v>
      </c>
      <c r="G222" s="73" t="s">
        <v>1488</v>
      </c>
      <c r="H222" s="74">
        <v>3</v>
      </c>
      <c r="J222" s="82"/>
    </row>
    <row r="223" spans="2:10" ht="20.100000000000001" customHeight="1" x14ac:dyDescent="0.3">
      <c r="B223" s="69" t="s">
        <v>1191</v>
      </c>
      <c r="C223" s="70">
        <v>0.74199999999999999</v>
      </c>
      <c r="D223" s="77" t="s">
        <v>937</v>
      </c>
      <c r="E223" s="72">
        <f t="shared" si="3"/>
        <v>0.68300000000000005</v>
      </c>
      <c r="F223" s="73">
        <v>0.4783</v>
      </c>
      <c r="G223" s="73"/>
      <c r="H223" s="74">
        <v>1</v>
      </c>
      <c r="J223" s="82"/>
    </row>
    <row r="224" spans="2:10" ht="20.100000000000001" customHeight="1" x14ac:dyDescent="0.3">
      <c r="B224" s="69" t="s">
        <v>1192</v>
      </c>
      <c r="C224" s="70">
        <v>0.78045469047710936</v>
      </c>
      <c r="D224" s="71" t="s">
        <v>967</v>
      </c>
      <c r="E224" s="72">
        <f t="shared" si="3"/>
        <v>0.76200000000000001</v>
      </c>
      <c r="F224" s="73">
        <v>0.44624545639386481</v>
      </c>
      <c r="G224" s="73"/>
      <c r="H224" s="74"/>
      <c r="J224" s="82"/>
    </row>
    <row r="225" spans="2:10" ht="20.100000000000001" customHeight="1" x14ac:dyDescent="0.3">
      <c r="B225" s="69" t="s">
        <v>1193</v>
      </c>
      <c r="C225" s="70">
        <v>0.707096493795355</v>
      </c>
      <c r="D225" s="71" t="s">
        <v>946</v>
      </c>
      <c r="E225" s="72">
        <f t="shared" si="3"/>
        <v>0.67200000000000004</v>
      </c>
      <c r="F225" s="73">
        <v>0.66732892484892692</v>
      </c>
      <c r="G225" s="73" t="s">
        <v>1487</v>
      </c>
      <c r="H225" s="74"/>
      <c r="J225" s="82"/>
    </row>
    <row r="226" spans="2:10" ht="20.100000000000001" customHeight="1" x14ac:dyDescent="0.3">
      <c r="B226" s="69" t="s">
        <v>1194</v>
      </c>
      <c r="C226" s="70">
        <v>0.75463806955402213</v>
      </c>
      <c r="D226" s="71" t="s">
        <v>1026</v>
      </c>
      <c r="E226" s="72">
        <f t="shared" si="3"/>
        <v>0.68200000000000005</v>
      </c>
      <c r="F226" s="73">
        <v>0.63744781281579266</v>
      </c>
      <c r="G226" s="73" t="s">
        <v>1487</v>
      </c>
      <c r="H226" s="74">
        <v>2</v>
      </c>
      <c r="J226" s="82"/>
    </row>
    <row r="227" spans="2:10" ht="20.100000000000001" customHeight="1" x14ac:dyDescent="0.3">
      <c r="B227" s="69" t="s">
        <v>1195</v>
      </c>
      <c r="C227" s="70">
        <v>0.61728566188973955</v>
      </c>
      <c r="D227" s="77" t="s">
        <v>1036</v>
      </c>
      <c r="E227" s="72">
        <f t="shared" si="3"/>
        <v>0.71699999999999997</v>
      </c>
      <c r="F227" s="73">
        <v>0.62120797829704599</v>
      </c>
      <c r="G227" s="73"/>
      <c r="H227" s="74">
        <v>2</v>
      </c>
      <c r="J227" s="82"/>
    </row>
    <row r="228" spans="2:10" ht="20.100000000000001" customHeight="1" x14ac:dyDescent="0.3">
      <c r="B228" s="69" t="s">
        <v>1196</v>
      </c>
      <c r="C228" s="70">
        <v>0.74560450829347458</v>
      </c>
      <c r="D228" s="77" t="s">
        <v>917</v>
      </c>
      <c r="E228" s="72">
        <f t="shared" si="3"/>
        <v>0.70599999999999996</v>
      </c>
      <c r="F228" s="73">
        <v>0.46605345397232889</v>
      </c>
      <c r="G228" s="73" t="s">
        <v>1486</v>
      </c>
      <c r="H228" s="74"/>
      <c r="J228" s="82"/>
    </row>
    <row r="229" spans="2:10" ht="20.100000000000001" customHeight="1" x14ac:dyDescent="0.3">
      <c r="B229" s="69" t="s">
        <v>1197</v>
      </c>
      <c r="C229" s="70">
        <v>0.75635170180996747</v>
      </c>
      <c r="D229" s="71" t="s">
        <v>920</v>
      </c>
      <c r="E229" s="72">
        <f t="shared" si="3"/>
        <v>0.76600000000000001</v>
      </c>
      <c r="F229" s="73">
        <v>0.42547416026827256</v>
      </c>
      <c r="G229" s="73"/>
      <c r="H229" s="74">
        <v>11</v>
      </c>
      <c r="J229" s="82"/>
    </row>
    <row r="230" spans="2:10" ht="20.100000000000001" customHeight="1" x14ac:dyDescent="0.3">
      <c r="B230" s="69" t="s">
        <v>1198</v>
      </c>
      <c r="C230" s="70">
        <v>0.79002178852152616</v>
      </c>
      <c r="D230" s="77" t="s">
        <v>917</v>
      </c>
      <c r="E230" s="72">
        <f t="shared" si="3"/>
        <v>0.70599999999999996</v>
      </c>
      <c r="F230" s="73">
        <v>0.40849140031377462</v>
      </c>
      <c r="G230" s="73" t="s">
        <v>1486</v>
      </c>
      <c r="H230" s="74"/>
      <c r="J230" s="82"/>
    </row>
    <row r="231" spans="2:10" ht="20.100000000000001" customHeight="1" x14ac:dyDescent="0.3">
      <c r="B231" s="69" t="s">
        <v>1199</v>
      </c>
      <c r="C231" s="70">
        <v>0.70062867463491008</v>
      </c>
      <c r="D231" s="71" t="s">
        <v>977</v>
      </c>
      <c r="E231" s="72">
        <f t="shared" si="3"/>
        <v>0.73699999999999999</v>
      </c>
      <c r="F231" s="73">
        <v>0.58508709351189125</v>
      </c>
      <c r="G231" s="73" t="s">
        <v>1486</v>
      </c>
      <c r="H231" s="74"/>
      <c r="J231" s="82"/>
    </row>
    <row r="232" spans="2:10" ht="20.100000000000001" customHeight="1" x14ac:dyDescent="0.3">
      <c r="B232" s="69" t="s">
        <v>1200</v>
      </c>
      <c r="C232" s="70">
        <v>0.80578562348205085</v>
      </c>
      <c r="D232" s="77" t="s">
        <v>1009</v>
      </c>
      <c r="E232" s="72">
        <f t="shared" si="3"/>
        <v>0.80900000000000005</v>
      </c>
      <c r="F232" s="73">
        <v>0.35075237779642099</v>
      </c>
      <c r="G232" s="73"/>
      <c r="H232" s="74"/>
      <c r="J232" s="82"/>
    </row>
    <row r="233" spans="2:10" ht="20.100000000000001" customHeight="1" x14ac:dyDescent="0.3">
      <c r="B233" s="69" t="s">
        <v>1201</v>
      </c>
      <c r="C233" s="70">
        <v>0.75495586284943772</v>
      </c>
      <c r="D233" s="71" t="s">
        <v>914</v>
      </c>
      <c r="E233" s="72">
        <f t="shared" si="3"/>
        <v>0.73699999999999999</v>
      </c>
      <c r="F233" s="73">
        <v>0.40315249661195229</v>
      </c>
      <c r="G233" s="73"/>
      <c r="H233" s="74"/>
      <c r="J233" s="82"/>
    </row>
    <row r="234" spans="2:10" ht="20.100000000000001" customHeight="1" x14ac:dyDescent="0.3">
      <c r="B234" s="69" t="s">
        <v>1202</v>
      </c>
      <c r="C234" s="70">
        <v>0.64500000000000002</v>
      </c>
      <c r="D234" s="77" t="s">
        <v>937</v>
      </c>
      <c r="E234" s="72">
        <f t="shared" si="3"/>
        <v>0.68300000000000005</v>
      </c>
      <c r="F234" s="73">
        <v>0.65480000000000005</v>
      </c>
      <c r="G234" s="73"/>
      <c r="H234" s="74">
        <v>9</v>
      </c>
      <c r="J234" s="82"/>
    </row>
    <row r="235" spans="2:10" ht="20.100000000000001" customHeight="1" x14ac:dyDescent="0.3">
      <c r="B235" s="69" t="s">
        <v>1203</v>
      </c>
      <c r="C235" s="70">
        <v>0.81202182996176764</v>
      </c>
      <c r="D235" s="71" t="s">
        <v>955</v>
      </c>
      <c r="E235" s="72">
        <f t="shared" si="3"/>
        <v>0.73799999999999999</v>
      </c>
      <c r="F235" s="73">
        <v>0.32167375690314848</v>
      </c>
      <c r="G235" s="73"/>
      <c r="H235" s="74"/>
      <c r="J235" s="82"/>
    </row>
    <row r="236" spans="2:10" ht="20.100000000000001" customHeight="1" x14ac:dyDescent="0.3">
      <c r="B236" s="69" t="s">
        <v>1204</v>
      </c>
      <c r="C236" s="70">
        <v>0.66131062772996463</v>
      </c>
      <c r="D236" s="71" t="s">
        <v>1001</v>
      </c>
      <c r="E236" s="72">
        <f t="shared" si="3"/>
        <v>0.72399999999999998</v>
      </c>
      <c r="F236" s="73">
        <v>0.65577303075372151</v>
      </c>
      <c r="G236" s="73" t="s">
        <v>1488</v>
      </c>
      <c r="H236" s="74"/>
      <c r="J236" s="82"/>
    </row>
    <row r="237" spans="2:10" ht="20.100000000000001" customHeight="1" x14ac:dyDescent="0.3">
      <c r="B237" s="69" t="s">
        <v>1205</v>
      </c>
      <c r="C237" s="70">
        <v>0.70177202696827057</v>
      </c>
      <c r="D237" s="77" t="s">
        <v>911</v>
      </c>
      <c r="E237" s="72">
        <f t="shared" si="3"/>
        <v>0.67400000000000004</v>
      </c>
      <c r="F237" s="73">
        <v>0.58130255352771265</v>
      </c>
      <c r="G237" s="73" t="s">
        <v>1487</v>
      </c>
      <c r="H237" s="74"/>
      <c r="J237" s="82"/>
    </row>
    <row r="238" spans="2:10" ht="20.100000000000001" customHeight="1" x14ac:dyDescent="0.3">
      <c r="B238" s="69" t="s">
        <v>1206</v>
      </c>
      <c r="C238" s="70">
        <v>0.7418591968347148</v>
      </c>
      <c r="D238" s="71" t="s">
        <v>1001</v>
      </c>
      <c r="E238" s="72">
        <f t="shared" si="3"/>
        <v>0.72399999999999998</v>
      </c>
      <c r="F238" s="73">
        <v>0.58469158664843168</v>
      </c>
      <c r="G238" s="73" t="s">
        <v>1488</v>
      </c>
      <c r="H238" s="74"/>
      <c r="J238" s="82"/>
    </row>
    <row r="239" spans="2:10" ht="20.100000000000001" customHeight="1" x14ac:dyDescent="0.3">
      <c r="B239" s="69" t="s">
        <v>1207</v>
      </c>
      <c r="C239" s="70">
        <v>0.76688578959693443</v>
      </c>
      <c r="D239" s="71" t="s">
        <v>1172</v>
      </c>
      <c r="E239" s="72">
        <f t="shared" si="3"/>
        <v>0.68</v>
      </c>
      <c r="F239" s="73">
        <v>0.28831596158762751</v>
      </c>
      <c r="G239" s="73"/>
      <c r="H239" s="74"/>
      <c r="J239" s="82"/>
    </row>
    <row r="240" spans="2:10" ht="20.100000000000001" customHeight="1" x14ac:dyDescent="0.3">
      <c r="B240" s="69" t="s">
        <v>1208</v>
      </c>
      <c r="C240" s="70">
        <v>0.78917595944986307</v>
      </c>
      <c r="D240" s="71" t="s">
        <v>940</v>
      </c>
      <c r="E240" s="72">
        <f t="shared" si="3"/>
        <v>0.73399999999999999</v>
      </c>
      <c r="F240" s="73">
        <v>0.41682253419092652</v>
      </c>
      <c r="G240" s="73"/>
      <c r="H240" s="74"/>
      <c r="J240" s="82"/>
    </row>
    <row r="241" spans="2:10" ht="20.100000000000001" customHeight="1" x14ac:dyDescent="0.3">
      <c r="B241" s="69" t="s">
        <v>1209</v>
      </c>
      <c r="C241" s="70">
        <v>0.74401368970486359</v>
      </c>
      <c r="D241" s="77" t="s">
        <v>926</v>
      </c>
      <c r="E241" s="72">
        <f t="shared" si="3"/>
        <v>0.66400000000000003</v>
      </c>
      <c r="F241" s="73">
        <v>0.57730830629069818</v>
      </c>
      <c r="G241" s="73" t="s">
        <v>1486</v>
      </c>
      <c r="H241" s="74">
        <v>4</v>
      </c>
      <c r="J241" s="82"/>
    </row>
    <row r="242" spans="2:10" ht="20.100000000000001" customHeight="1" x14ac:dyDescent="0.3">
      <c r="B242" s="69" t="s">
        <v>1210</v>
      </c>
      <c r="C242" s="70">
        <v>0.72425151684959577</v>
      </c>
      <c r="D242" s="71" t="s">
        <v>914</v>
      </c>
      <c r="E242" s="72">
        <f t="shared" si="3"/>
        <v>0.73699999999999999</v>
      </c>
      <c r="F242" s="73">
        <v>0.51702332680647967</v>
      </c>
      <c r="G242" s="73"/>
      <c r="H242" s="74"/>
      <c r="J242" s="82"/>
    </row>
    <row r="243" spans="2:10" ht="20.100000000000001" customHeight="1" x14ac:dyDescent="0.3">
      <c r="B243" s="69" t="s">
        <v>1211</v>
      </c>
      <c r="C243" s="70">
        <v>0.69620924813524865</v>
      </c>
      <c r="D243" s="71" t="s">
        <v>974</v>
      </c>
      <c r="E243" s="72">
        <f t="shared" si="3"/>
        <v>0.64800000000000002</v>
      </c>
      <c r="F243" s="73">
        <v>0.63213352589382155</v>
      </c>
      <c r="G243" s="73"/>
      <c r="H243" s="74" t="s">
        <v>949</v>
      </c>
      <c r="J243" s="82"/>
    </row>
    <row r="244" spans="2:10" ht="20.100000000000001" customHeight="1" x14ac:dyDescent="0.3">
      <c r="B244" s="69" t="s">
        <v>1212</v>
      </c>
      <c r="C244" s="70">
        <v>0.71050866526246326</v>
      </c>
      <c r="D244" s="77" t="s">
        <v>926</v>
      </c>
      <c r="E244" s="72">
        <f t="shared" si="3"/>
        <v>0.66400000000000003</v>
      </c>
      <c r="F244" s="73">
        <v>0.63545617656111875</v>
      </c>
      <c r="G244" s="73" t="s">
        <v>1487</v>
      </c>
      <c r="H244" s="74">
        <v>3</v>
      </c>
      <c r="J244" s="82"/>
    </row>
    <row r="245" spans="2:10" ht="20.100000000000001" customHeight="1" x14ac:dyDescent="0.3">
      <c r="B245" s="69" t="s">
        <v>1213</v>
      </c>
      <c r="C245" s="70">
        <v>0.68749533273359864</v>
      </c>
      <c r="D245" s="71" t="s">
        <v>974</v>
      </c>
      <c r="E245" s="72">
        <f t="shared" si="3"/>
        <v>0.64800000000000002</v>
      </c>
      <c r="F245" s="73">
        <v>0.62041087273790663</v>
      </c>
      <c r="G245" s="73"/>
      <c r="H245" s="74" t="s">
        <v>949</v>
      </c>
      <c r="J245" s="82"/>
    </row>
    <row r="246" spans="2:10" ht="20.100000000000001" customHeight="1" x14ac:dyDescent="0.3">
      <c r="B246" s="69" t="s">
        <v>1214</v>
      </c>
      <c r="C246" s="70">
        <v>0.76966513328079644</v>
      </c>
      <c r="D246" s="71" t="s">
        <v>940</v>
      </c>
      <c r="E246" s="72">
        <f t="shared" si="3"/>
        <v>0.73399999999999999</v>
      </c>
      <c r="F246" s="73">
        <v>0.38875145754239959</v>
      </c>
      <c r="G246" s="73"/>
      <c r="H246" s="74">
        <v>3</v>
      </c>
      <c r="J246" s="82"/>
    </row>
    <row r="247" spans="2:10" ht="20.100000000000001" customHeight="1" x14ac:dyDescent="0.3">
      <c r="B247" s="69" t="s">
        <v>1215</v>
      </c>
      <c r="C247" s="70">
        <v>0.81362570605260265</v>
      </c>
      <c r="D247" s="71" t="s">
        <v>931</v>
      </c>
      <c r="E247" s="72">
        <f t="shared" si="3"/>
        <v>0.76900000000000002</v>
      </c>
      <c r="F247" s="73">
        <v>0.30073676605830585</v>
      </c>
      <c r="G247" s="73"/>
      <c r="H247" s="74"/>
      <c r="J247" s="82"/>
    </row>
    <row r="248" spans="2:10" ht="20.100000000000001" customHeight="1" x14ac:dyDescent="0.3">
      <c r="B248" s="69" t="s">
        <v>1216</v>
      </c>
      <c r="C248" s="70">
        <v>0.75161996565779121</v>
      </c>
      <c r="D248" s="71" t="s">
        <v>967</v>
      </c>
      <c r="E248" s="72">
        <f t="shared" si="3"/>
        <v>0.76200000000000001</v>
      </c>
      <c r="F248" s="73">
        <v>0.5252383482448576</v>
      </c>
      <c r="G248" s="73"/>
      <c r="H248" s="74" t="s">
        <v>949</v>
      </c>
      <c r="J248" s="82"/>
    </row>
    <row r="249" spans="2:10" ht="20.100000000000001" customHeight="1" x14ac:dyDescent="0.3">
      <c r="B249" s="69" t="s">
        <v>1217</v>
      </c>
      <c r="C249" s="70">
        <v>0.68644036058724467</v>
      </c>
      <c r="D249" s="77" t="s">
        <v>961</v>
      </c>
      <c r="E249" s="72">
        <f t="shared" si="3"/>
        <v>0.64200000000000002</v>
      </c>
      <c r="F249" s="73">
        <v>0.6067168345789451</v>
      </c>
      <c r="G249" s="73" t="s">
        <v>1486</v>
      </c>
      <c r="H249" s="74"/>
      <c r="J249" s="82"/>
    </row>
    <row r="250" spans="2:10" ht="20.100000000000001" customHeight="1" x14ac:dyDescent="0.3">
      <c r="B250" s="69" t="s">
        <v>1218</v>
      </c>
      <c r="C250" s="70">
        <v>0.73862164015960641</v>
      </c>
      <c r="D250" s="71" t="s">
        <v>967</v>
      </c>
      <c r="E250" s="72">
        <f t="shared" si="3"/>
        <v>0.76200000000000001</v>
      </c>
      <c r="F250" s="73">
        <v>0.5502169059905051</v>
      </c>
      <c r="G250" s="73"/>
      <c r="H250" s="74"/>
      <c r="J250" s="82"/>
    </row>
    <row r="251" spans="2:10" ht="20.100000000000001" customHeight="1" x14ac:dyDescent="0.3">
      <c r="B251" s="69" t="s">
        <v>1219</v>
      </c>
      <c r="C251" s="70">
        <v>0.71111849676918792</v>
      </c>
      <c r="D251" s="71" t="s">
        <v>955</v>
      </c>
      <c r="E251" s="72">
        <f t="shared" si="3"/>
        <v>0.73799999999999999</v>
      </c>
      <c r="F251" s="73">
        <v>0.53133730390019074</v>
      </c>
      <c r="G251" s="73"/>
      <c r="H251" s="74"/>
      <c r="J251" s="82"/>
    </row>
    <row r="252" spans="2:10" ht="20.100000000000001" customHeight="1" x14ac:dyDescent="0.3">
      <c r="B252" s="69" t="s">
        <v>1220</v>
      </c>
      <c r="C252" s="70">
        <v>0.69245680254525566</v>
      </c>
      <c r="D252" s="71" t="s">
        <v>1026</v>
      </c>
      <c r="E252" s="72">
        <f t="shared" si="3"/>
        <v>0.68200000000000005</v>
      </c>
      <c r="F252" s="73">
        <v>0.65645100601840012</v>
      </c>
      <c r="G252" s="73" t="s">
        <v>1486</v>
      </c>
      <c r="H252" s="74" t="s">
        <v>992</v>
      </c>
      <c r="J252" s="82"/>
    </row>
    <row r="253" spans="2:10" ht="20.100000000000001" customHeight="1" x14ac:dyDescent="0.3">
      <c r="B253" s="69" t="s">
        <v>1221</v>
      </c>
      <c r="C253" s="70">
        <v>0.77233709249902671</v>
      </c>
      <c r="D253" s="71" t="s">
        <v>931</v>
      </c>
      <c r="E253" s="72">
        <f t="shared" si="3"/>
        <v>0.76900000000000002</v>
      </c>
      <c r="F253" s="73">
        <v>0.40569481355847803</v>
      </c>
      <c r="G253" s="73"/>
      <c r="H253" s="74">
        <v>1</v>
      </c>
      <c r="J253" s="82"/>
    </row>
    <row r="254" spans="2:10" ht="20.100000000000001" customHeight="1" x14ac:dyDescent="0.3">
      <c r="B254" s="69" t="s">
        <v>1222</v>
      </c>
      <c r="C254" s="70">
        <v>0.76477497371767567</v>
      </c>
      <c r="D254" s="71" t="s">
        <v>977</v>
      </c>
      <c r="E254" s="72">
        <f t="shared" si="3"/>
        <v>0.73699999999999999</v>
      </c>
      <c r="F254" s="73">
        <v>0.39503123339655677</v>
      </c>
      <c r="G254" s="73" t="s">
        <v>1486</v>
      </c>
      <c r="H254" s="74">
        <v>9</v>
      </c>
      <c r="J254" s="82"/>
    </row>
    <row r="255" spans="2:10" ht="20.100000000000001" customHeight="1" x14ac:dyDescent="0.3">
      <c r="B255" s="69" t="s">
        <v>1223</v>
      </c>
      <c r="C255" s="70">
        <v>0.74168014175077357</v>
      </c>
      <c r="D255" s="71" t="s">
        <v>1019</v>
      </c>
      <c r="E255" s="72">
        <f t="shared" si="3"/>
        <v>0.72499999999999998</v>
      </c>
      <c r="F255" s="73">
        <v>0.59537202620746255</v>
      </c>
      <c r="G255" s="73" t="s">
        <v>1488</v>
      </c>
      <c r="H255" s="74"/>
      <c r="J255" s="82"/>
    </row>
    <row r="256" spans="2:10" ht="20.100000000000001" customHeight="1" x14ac:dyDescent="0.3">
      <c r="B256" s="69" t="s">
        <v>1224</v>
      </c>
      <c r="C256" s="70">
        <v>0.73761601872747695</v>
      </c>
      <c r="D256" s="71" t="s">
        <v>914</v>
      </c>
      <c r="E256" s="72">
        <f t="shared" si="3"/>
        <v>0.73699999999999999</v>
      </c>
      <c r="F256" s="73">
        <v>0.53955963606963331</v>
      </c>
      <c r="G256" s="73"/>
      <c r="H256" s="74"/>
      <c r="J256" s="82"/>
    </row>
    <row r="257" spans="2:10" ht="20.100000000000001" customHeight="1" x14ac:dyDescent="0.3">
      <c r="B257" s="69" t="s">
        <v>1225</v>
      </c>
      <c r="C257" s="70">
        <v>0.66828485916978186</v>
      </c>
      <c r="D257" s="77" t="s">
        <v>961</v>
      </c>
      <c r="E257" s="72">
        <f t="shared" si="3"/>
        <v>0.64200000000000002</v>
      </c>
      <c r="F257" s="73">
        <v>0.59581842066462676</v>
      </c>
      <c r="G257" s="73" t="s">
        <v>1486</v>
      </c>
      <c r="H257" s="74"/>
      <c r="J257" s="82"/>
    </row>
    <row r="258" spans="2:10" ht="20.100000000000001" customHeight="1" x14ac:dyDescent="0.3">
      <c r="B258" s="69" t="s">
        <v>1226</v>
      </c>
      <c r="C258" s="70">
        <v>0.77817836367865867</v>
      </c>
      <c r="D258" s="77" t="s">
        <v>996</v>
      </c>
      <c r="E258" s="72">
        <f t="shared" si="3"/>
        <v>0.68300000000000005</v>
      </c>
      <c r="F258" s="73">
        <v>0.58287610717270877</v>
      </c>
      <c r="G258" s="73" t="s">
        <v>1488</v>
      </c>
      <c r="H258" s="74"/>
      <c r="J258" s="82"/>
    </row>
    <row r="259" spans="2:10" ht="20.100000000000001" customHeight="1" x14ac:dyDescent="0.3">
      <c r="B259" s="69" t="s">
        <v>1227</v>
      </c>
      <c r="C259" s="70">
        <v>0.80302524386505258</v>
      </c>
      <c r="D259" s="71" t="s">
        <v>958</v>
      </c>
      <c r="E259" s="72">
        <f t="shared" si="3"/>
        <v>0.79600000000000004</v>
      </c>
      <c r="F259" s="73">
        <v>0.36462766753697273</v>
      </c>
      <c r="G259" s="73"/>
      <c r="H259" s="74"/>
      <c r="J259" s="82"/>
    </row>
    <row r="260" spans="2:10" ht="20.100000000000001" customHeight="1" x14ac:dyDescent="0.3">
      <c r="B260" s="69" t="s">
        <v>1228</v>
      </c>
      <c r="C260" s="70">
        <v>0.65876353825331602</v>
      </c>
      <c r="D260" s="77" t="s">
        <v>952</v>
      </c>
      <c r="E260" s="72">
        <f t="shared" ref="E260:E323" si="4">VLOOKUP(D260,$J$5:$K$32,2,0)</f>
        <v>0.72599999999999998</v>
      </c>
      <c r="F260" s="73">
        <v>0.54567831801287348</v>
      </c>
      <c r="G260" s="73"/>
      <c r="H260" s="74" t="s">
        <v>1229</v>
      </c>
      <c r="J260" s="82"/>
    </row>
    <row r="261" spans="2:10" ht="20.100000000000001" customHeight="1" x14ac:dyDescent="0.3">
      <c r="B261" s="69" t="s">
        <v>1230</v>
      </c>
      <c r="C261" s="70">
        <v>0.79671860598195932</v>
      </c>
      <c r="D261" s="71" t="s">
        <v>958</v>
      </c>
      <c r="E261" s="72">
        <f t="shared" si="4"/>
        <v>0.79600000000000004</v>
      </c>
      <c r="F261" s="73">
        <v>0.30548145105640212</v>
      </c>
      <c r="G261" s="73"/>
      <c r="H261" s="74">
        <v>3</v>
      </c>
      <c r="J261" s="82"/>
    </row>
    <row r="262" spans="2:10" ht="20.100000000000001" customHeight="1" x14ac:dyDescent="0.3">
      <c r="B262" s="69" t="s">
        <v>1231</v>
      </c>
      <c r="C262" s="70">
        <v>0.7754717210714408</v>
      </c>
      <c r="D262" s="71" t="s">
        <v>940</v>
      </c>
      <c r="E262" s="72">
        <f t="shared" si="4"/>
        <v>0.73399999999999999</v>
      </c>
      <c r="F262" s="73">
        <v>0.2870238759573952</v>
      </c>
      <c r="G262" s="73"/>
      <c r="H262" s="74">
        <v>3</v>
      </c>
      <c r="J262" s="82"/>
    </row>
    <row r="263" spans="2:10" ht="20.100000000000001" customHeight="1" x14ac:dyDescent="0.3">
      <c r="B263" s="69" t="s">
        <v>1232</v>
      </c>
      <c r="C263" s="70">
        <v>0.747</v>
      </c>
      <c r="D263" s="77" t="s">
        <v>937</v>
      </c>
      <c r="E263" s="72">
        <f t="shared" si="4"/>
        <v>0.68300000000000005</v>
      </c>
      <c r="F263" s="73">
        <v>0.50800000000000001</v>
      </c>
      <c r="G263" s="73"/>
      <c r="H263" s="74"/>
      <c r="J263" s="82"/>
    </row>
    <row r="264" spans="2:10" ht="20.100000000000001" customHeight="1" x14ac:dyDescent="0.3">
      <c r="B264" s="69" t="s">
        <v>1233</v>
      </c>
      <c r="C264" s="70">
        <v>0.73071099553330232</v>
      </c>
      <c r="D264" s="71" t="s">
        <v>974</v>
      </c>
      <c r="E264" s="72">
        <f t="shared" si="4"/>
        <v>0.64800000000000002</v>
      </c>
      <c r="F264" s="73">
        <v>0.61706660369488309</v>
      </c>
      <c r="G264" s="73"/>
      <c r="H264" s="74"/>
      <c r="J264" s="82"/>
    </row>
    <row r="265" spans="2:10" ht="20.100000000000001" customHeight="1" x14ac:dyDescent="0.3">
      <c r="B265" s="69" t="s">
        <v>1234</v>
      </c>
      <c r="C265" s="70">
        <v>0.6842021837421125</v>
      </c>
      <c r="D265" s="71" t="s">
        <v>946</v>
      </c>
      <c r="E265" s="72">
        <f t="shared" si="4"/>
        <v>0.67200000000000004</v>
      </c>
      <c r="F265" s="73">
        <v>0.70539539587060407</v>
      </c>
      <c r="G265" s="73" t="s">
        <v>1487</v>
      </c>
      <c r="H265" s="74"/>
      <c r="J265" s="82"/>
    </row>
    <row r="266" spans="2:10" ht="20.100000000000001" customHeight="1" x14ac:dyDescent="0.3">
      <c r="B266" s="69" t="s">
        <v>1235</v>
      </c>
      <c r="C266" s="70">
        <v>0.77106911623683061</v>
      </c>
      <c r="D266" s="71" t="s">
        <v>1172</v>
      </c>
      <c r="E266" s="72">
        <f t="shared" si="4"/>
        <v>0.68</v>
      </c>
      <c r="F266" s="73">
        <v>0.42156208636441606</v>
      </c>
      <c r="G266" s="73"/>
      <c r="H266" s="74"/>
      <c r="J266" s="82"/>
    </row>
    <row r="267" spans="2:10" ht="20.100000000000001" customHeight="1" x14ac:dyDescent="0.3">
      <c r="B267" s="69" t="s">
        <v>1236</v>
      </c>
      <c r="C267" s="70">
        <v>0.72591526375277249</v>
      </c>
      <c r="D267" s="71" t="s">
        <v>974</v>
      </c>
      <c r="E267" s="72">
        <f t="shared" si="4"/>
        <v>0.64800000000000002</v>
      </c>
      <c r="F267" s="73">
        <v>0.53833864574025181</v>
      </c>
      <c r="G267" s="73" t="s">
        <v>1486</v>
      </c>
      <c r="H267" s="74"/>
      <c r="J267" s="82"/>
    </row>
    <row r="268" spans="2:10" ht="20.100000000000001" customHeight="1" x14ac:dyDescent="0.3">
      <c r="B268" s="69" t="s">
        <v>1237</v>
      </c>
      <c r="C268" s="70">
        <v>0.77933099406334549</v>
      </c>
      <c r="D268" s="71" t="s">
        <v>955</v>
      </c>
      <c r="E268" s="72">
        <f t="shared" si="4"/>
        <v>0.73799999999999999</v>
      </c>
      <c r="F268" s="73">
        <v>0.28732258821001277</v>
      </c>
      <c r="G268" s="73"/>
      <c r="H268" s="74" t="s">
        <v>949</v>
      </c>
      <c r="J268" s="82"/>
    </row>
    <row r="269" spans="2:10" ht="20.100000000000001" customHeight="1" x14ac:dyDescent="0.3">
      <c r="B269" s="69" t="s">
        <v>1238</v>
      </c>
      <c r="C269" s="70">
        <v>0.79762001965338658</v>
      </c>
      <c r="D269" s="77" t="s">
        <v>952</v>
      </c>
      <c r="E269" s="72">
        <f t="shared" si="4"/>
        <v>0.72599999999999998</v>
      </c>
      <c r="F269" s="73">
        <v>0.23457033884935735</v>
      </c>
      <c r="G269" s="73"/>
      <c r="H269" s="74"/>
      <c r="J269" s="82"/>
    </row>
    <row r="270" spans="2:10" ht="20.100000000000001" customHeight="1" x14ac:dyDescent="0.3">
      <c r="B270" s="69" t="s">
        <v>1239</v>
      </c>
      <c r="C270" s="70">
        <v>0.75921171981623381</v>
      </c>
      <c r="D270" s="71" t="s">
        <v>931</v>
      </c>
      <c r="E270" s="72">
        <f t="shared" si="4"/>
        <v>0.76900000000000002</v>
      </c>
      <c r="F270" s="73">
        <v>0.46902111561695881</v>
      </c>
      <c r="G270" s="73"/>
      <c r="H270" s="74"/>
      <c r="J270" s="82"/>
    </row>
    <row r="271" spans="2:10" ht="20.100000000000001" customHeight="1" x14ac:dyDescent="0.3">
      <c r="B271" s="69" t="s">
        <v>1240</v>
      </c>
      <c r="C271" s="70">
        <v>0.80470146970312884</v>
      </c>
      <c r="D271" s="77" t="s">
        <v>1009</v>
      </c>
      <c r="E271" s="72">
        <f t="shared" si="4"/>
        <v>0.80900000000000005</v>
      </c>
      <c r="F271" s="73">
        <v>0.26186151403959002</v>
      </c>
      <c r="G271" s="73"/>
      <c r="H271" s="74"/>
      <c r="J271" s="82"/>
    </row>
    <row r="272" spans="2:10" ht="20.100000000000001" customHeight="1" x14ac:dyDescent="0.3">
      <c r="B272" s="69" t="s">
        <v>1241</v>
      </c>
      <c r="C272" s="70">
        <v>0.78400000000000003</v>
      </c>
      <c r="D272" s="77" t="s">
        <v>937</v>
      </c>
      <c r="E272" s="72">
        <f t="shared" si="4"/>
        <v>0.68300000000000005</v>
      </c>
      <c r="F272" s="73">
        <v>0.42280000000000001</v>
      </c>
      <c r="G272" s="73"/>
      <c r="H272" s="74"/>
      <c r="J272" s="82"/>
    </row>
    <row r="273" spans="2:10" ht="20.100000000000001" customHeight="1" x14ac:dyDescent="0.3">
      <c r="B273" s="69" t="s">
        <v>1242</v>
      </c>
      <c r="C273" s="70">
        <v>0.72220572857078857</v>
      </c>
      <c r="D273" s="71" t="s">
        <v>934</v>
      </c>
      <c r="E273" s="72">
        <f t="shared" si="4"/>
        <v>0.68799999999999994</v>
      </c>
      <c r="F273" s="73">
        <v>0.5620711805951677</v>
      </c>
      <c r="G273" s="73" t="s">
        <v>1488</v>
      </c>
      <c r="H273" s="74">
        <v>11</v>
      </c>
      <c r="J273" s="82"/>
    </row>
    <row r="274" spans="2:10" ht="20.100000000000001" customHeight="1" x14ac:dyDescent="0.3">
      <c r="B274" s="69" t="s">
        <v>1243</v>
      </c>
      <c r="C274" s="70">
        <v>0.82463133609384698</v>
      </c>
      <c r="D274" s="71" t="s">
        <v>931</v>
      </c>
      <c r="E274" s="72">
        <f t="shared" si="4"/>
        <v>0.76900000000000002</v>
      </c>
      <c r="F274" s="73">
        <v>0.32954645882785977</v>
      </c>
      <c r="G274" s="73"/>
      <c r="H274" s="74"/>
      <c r="J274" s="82"/>
    </row>
    <row r="275" spans="2:10" ht="20.100000000000001" customHeight="1" x14ac:dyDescent="0.3">
      <c r="B275" s="69" t="s">
        <v>1244</v>
      </c>
      <c r="C275" s="70">
        <v>0.84200429353470296</v>
      </c>
      <c r="D275" s="71" t="s">
        <v>958</v>
      </c>
      <c r="E275" s="72">
        <f t="shared" si="4"/>
        <v>0.79600000000000004</v>
      </c>
      <c r="F275" s="73">
        <v>0.25088226409544867</v>
      </c>
      <c r="G275" s="73"/>
      <c r="H275" s="74"/>
      <c r="J275" s="82"/>
    </row>
    <row r="276" spans="2:10" ht="20.100000000000001" customHeight="1" x14ac:dyDescent="0.3">
      <c r="B276" s="69" t="s">
        <v>1245</v>
      </c>
      <c r="C276" s="70">
        <v>0.8198673558082149</v>
      </c>
      <c r="D276" s="71" t="s">
        <v>958</v>
      </c>
      <c r="E276" s="72">
        <f t="shared" si="4"/>
        <v>0.79600000000000004</v>
      </c>
      <c r="F276" s="73">
        <v>0.21216844757752532</v>
      </c>
      <c r="G276" s="73"/>
      <c r="H276" s="74"/>
      <c r="J276" s="82"/>
    </row>
    <row r="277" spans="2:10" ht="20.100000000000001" customHeight="1" x14ac:dyDescent="0.3">
      <c r="B277" s="83" t="s">
        <v>1246</v>
      </c>
      <c r="C277" s="70">
        <v>0.82642202500776518</v>
      </c>
      <c r="D277" s="71" t="s">
        <v>1001</v>
      </c>
      <c r="E277" s="72">
        <f t="shared" si="4"/>
        <v>0.72399999999999998</v>
      </c>
      <c r="F277" s="73">
        <v>0.41783009984945163</v>
      </c>
      <c r="G277" s="73"/>
      <c r="H277" s="74"/>
      <c r="J277" s="82"/>
    </row>
    <row r="278" spans="2:10" ht="20.100000000000001" customHeight="1" x14ac:dyDescent="0.3">
      <c r="B278" s="69" t="s">
        <v>1247</v>
      </c>
      <c r="C278" s="70">
        <v>0.82469934459532035</v>
      </c>
      <c r="D278" s="71" t="s">
        <v>955</v>
      </c>
      <c r="E278" s="72">
        <f t="shared" si="4"/>
        <v>0.73799999999999999</v>
      </c>
      <c r="F278" s="73">
        <v>0.39971327754846564</v>
      </c>
      <c r="G278" s="73"/>
      <c r="H278" s="74"/>
      <c r="J278" s="82"/>
    </row>
    <row r="279" spans="2:10" ht="20.100000000000001" customHeight="1" x14ac:dyDescent="0.3">
      <c r="B279" s="69" t="s">
        <v>1248</v>
      </c>
      <c r="C279" s="70">
        <v>0.82237574364834587</v>
      </c>
      <c r="D279" s="77" t="s">
        <v>923</v>
      </c>
      <c r="E279" s="72">
        <f t="shared" si="4"/>
        <v>0.748</v>
      </c>
      <c r="F279" s="73">
        <v>0.42255753962147391</v>
      </c>
      <c r="G279" s="73"/>
      <c r="H279" s="74">
        <v>8</v>
      </c>
      <c r="J279" s="82"/>
    </row>
    <row r="280" spans="2:10" ht="20.100000000000001" customHeight="1" x14ac:dyDescent="0.3">
      <c r="B280" s="69" t="s">
        <v>1249</v>
      </c>
      <c r="C280" s="70">
        <v>0.76043959469148037</v>
      </c>
      <c r="D280" s="71" t="s">
        <v>1026</v>
      </c>
      <c r="E280" s="72">
        <f t="shared" si="4"/>
        <v>0.68200000000000005</v>
      </c>
      <c r="F280" s="73">
        <v>0.59469605175696982</v>
      </c>
      <c r="G280" s="73" t="s">
        <v>1487</v>
      </c>
      <c r="H280" s="74"/>
      <c r="J280" s="82"/>
    </row>
    <row r="281" spans="2:10" ht="20.100000000000001" customHeight="1" x14ac:dyDescent="0.3">
      <c r="B281" s="69" t="s">
        <v>1250</v>
      </c>
      <c r="C281" s="70">
        <v>0.7062853100032308</v>
      </c>
      <c r="D281" s="71" t="s">
        <v>964</v>
      </c>
      <c r="E281" s="72">
        <f t="shared" si="4"/>
        <v>0.73499999999999999</v>
      </c>
      <c r="F281" s="73">
        <v>0.38587978054244576</v>
      </c>
      <c r="G281" s="73"/>
      <c r="H281" s="74"/>
      <c r="J281" s="82"/>
    </row>
    <row r="282" spans="2:10" ht="20.100000000000001" customHeight="1" x14ac:dyDescent="0.3">
      <c r="B282" s="69" t="s">
        <v>1251</v>
      </c>
      <c r="C282" s="70">
        <v>0.78766632011334714</v>
      </c>
      <c r="D282" s="71" t="s">
        <v>958</v>
      </c>
      <c r="E282" s="72">
        <f t="shared" si="4"/>
        <v>0.79600000000000004</v>
      </c>
      <c r="F282" s="73">
        <v>0.36951913123168478</v>
      </c>
      <c r="G282" s="73"/>
      <c r="H282" s="74">
        <v>8</v>
      </c>
      <c r="J282" s="82"/>
    </row>
    <row r="283" spans="2:10" ht="20.100000000000001" customHeight="1" x14ac:dyDescent="0.3">
      <c r="B283" s="69" t="s">
        <v>1252</v>
      </c>
      <c r="C283" s="70">
        <v>0.79723506006855049</v>
      </c>
      <c r="D283" s="77" t="s">
        <v>917</v>
      </c>
      <c r="E283" s="72">
        <f t="shared" si="4"/>
        <v>0.70599999999999996</v>
      </c>
      <c r="F283" s="73">
        <v>0.40387047078717087</v>
      </c>
      <c r="G283" s="73" t="s">
        <v>1486</v>
      </c>
      <c r="H283" s="74"/>
      <c r="J283" s="82"/>
    </row>
    <row r="284" spans="2:10" ht="20.100000000000001" customHeight="1" x14ac:dyDescent="0.3">
      <c r="B284" s="69" t="s">
        <v>1253</v>
      </c>
      <c r="C284" s="70">
        <v>0.81306053523309718</v>
      </c>
      <c r="D284" s="77" t="s">
        <v>1036</v>
      </c>
      <c r="E284" s="72">
        <f t="shared" si="4"/>
        <v>0.71699999999999997</v>
      </c>
      <c r="F284" s="73">
        <v>0.34863433614164996</v>
      </c>
      <c r="G284" s="73"/>
      <c r="H284" s="74"/>
      <c r="J284" s="82"/>
    </row>
    <row r="285" spans="2:10" ht="20.100000000000001" customHeight="1" x14ac:dyDescent="0.3">
      <c r="B285" s="69" t="s">
        <v>1254</v>
      </c>
      <c r="C285" s="70">
        <v>0.8161970392750636</v>
      </c>
      <c r="D285" s="71" t="s">
        <v>958</v>
      </c>
      <c r="E285" s="72">
        <f t="shared" si="4"/>
        <v>0.79600000000000004</v>
      </c>
      <c r="F285" s="73">
        <v>0.23867809688224767</v>
      </c>
      <c r="G285" s="73"/>
      <c r="H285" s="74"/>
      <c r="J285" s="82"/>
    </row>
    <row r="286" spans="2:10" ht="20.100000000000001" customHeight="1" x14ac:dyDescent="0.3">
      <c r="B286" s="69" t="s">
        <v>1255</v>
      </c>
      <c r="C286" s="70">
        <v>0.81459378924507253</v>
      </c>
      <c r="D286" s="71" t="s">
        <v>920</v>
      </c>
      <c r="E286" s="72">
        <f t="shared" si="4"/>
        <v>0.76600000000000001</v>
      </c>
      <c r="F286" s="73">
        <v>0.38861196248187535</v>
      </c>
      <c r="G286" s="73"/>
      <c r="H286" s="74"/>
      <c r="J286" s="82"/>
    </row>
    <row r="287" spans="2:10" ht="20.100000000000001" customHeight="1" x14ac:dyDescent="0.3">
      <c r="B287" s="69" t="s">
        <v>1256</v>
      </c>
      <c r="C287" s="70">
        <v>0.83097714268638334</v>
      </c>
      <c r="D287" s="71" t="s">
        <v>958</v>
      </c>
      <c r="E287" s="72">
        <f t="shared" si="4"/>
        <v>0.79600000000000004</v>
      </c>
      <c r="F287" s="73">
        <v>0.22400923712739729</v>
      </c>
      <c r="G287" s="73"/>
      <c r="H287" s="74"/>
      <c r="J287" s="82"/>
    </row>
    <row r="288" spans="2:10" ht="20.100000000000001" customHeight="1" x14ac:dyDescent="0.3">
      <c r="B288" s="69" t="s">
        <v>1257</v>
      </c>
      <c r="C288" s="70">
        <v>0.75284534808349113</v>
      </c>
      <c r="D288" s="71" t="s">
        <v>964</v>
      </c>
      <c r="E288" s="72">
        <f t="shared" si="4"/>
        <v>0.73499999999999999</v>
      </c>
      <c r="F288" s="73">
        <v>0.29908729337098411</v>
      </c>
      <c r="G288" s="73"/>
      <c r="H288" s="74"/>
      <c r="J288" s="82"/>
    </row>
    <row r="289" spans="2:10" ht="20.100000000000001" customHeight="1" x14ac:dyDescent="0.3">
      <c r="B289" s="69" t="s">
        <v>1258</v>
      </c>
      <c r="C289" s="70">
        <v>0.76364698543710796</v>
      </c>
      <c r="D289" s="71" t="s">
        <v>1001</v>
      </c>
      <c r="E289" s="72">
        <f t="shared" si="4"/>
        <v>0.72399999999999998</v>
      </c>
      <c r="F289" s="73">
        <v>0.58181208398555639</v>
      </c>
      <c r="G289" s="73" t="s">
        <v>1488</v>
      </c>
      <c r="H289" s="74" t="s">
        <v>949</v>
      </c>
      <c r="J289" s="82"/>
    </row>
    <row r="290" spans="2:10" ht="20.100000000000001" customHeight="1" x14ac:dyDescent="0.3">
      <c r="B290" s="69" t="s">
        <v>1259</v>
      </c>
      <c r="C290" s="70">
        <v>0.73042082797237207</v>
      </c>
      <c r="D290" s="77" t="s">
        <v>1028</v>
      </c>
      <c r="E290" s="72">
        <f t="shared" si="4"/>
        <v>0.66500000000000004</v>
      </c>
      <c r="F290" s="73">
        <v>0.5870273842536381</v>
      </c>
      <c r="G290" s="73" t="s">
        <v>1486</v>
      </c>
      <c r="H290" s="74"/>
      <c r="J290" s="82"/>
    </row>
    <row r="291" spans="2:10" ht="20.100000000000001" customHeight="1" x14ac:dyDescent="0.3">
      <c r="B291" s="69" t="s">
        <v>1260</v>
      </c>
      <c r="C291" s="70">
        <v>0.7512031797209584</v>
      </c>
      <c r="D291" s="71" t="s">
        <v>964</v>
      </c>
      <c r="E291" s="72">
        <f t="shared" si="4"/>
        <v>0.73499999999999999</v>
      </c>
      <c r="F291" s="73">
        <v>0.3735856257302187</v>
      </c>
      <c r="G291" s="73"/>
      <c r="H291" s="74"/>
      <c r="J291" s="82"/>
    </row>
    <row r="292" spans="2:10" ht="20.100000000000001" customHeight="1" x14ac:dyDescent="0.3">
      <c r="B292" s="69" t="s">
        <v>1261</v>
      </c>
      <c r="C292" s="70">
        <v>0.74704647066417307</v>
      </c>
      <c r="D292" s="77" t="s">
        <v>923</v>
      </c>
      <c r="E292" s="72">
        <f t="shared" si="4"/>
        <v>0.748</v>
      </c>
      <c r="F292" s="73">
        <v>0.563852716067749</v>
      </c>
      <c r="G292" s="73" t="s">
        <v>1488</v>
      </c>
      <c r="H292" s="74"/>
      <c r="J292" s="82"/>
    </row>
    <row r="293" spans="2:10" ht="20.100000000000001" customHeight="1" x14ac:dyDescent="0.3">
      <c r="B293" s="69" t="s">
        <v>1262</v>
      </c>
      <c r="C293" s="70">
        <v>0.70917419409323013</v>
      </c>
      <c r="D293" s="71" t="s">
        <v>934</v>
      </c>
      <c r="E293" s="72">
        <f t="shared" si="4"/>
        <v>0.68799999999999994</v>
      </c>
      <c r="F293" s="73">
        <v>0.63426978578064441</v>
      </c>
      <c r="G293" s="73" t="s">
        <v>1488</v>
      </c>
      <c r="H293" s="74">
        <v>1</v>
      </c>
      <c r="J293" s="82"/>
    </row>
    <row r="294" spans="2:10" ht="20.100000000000001" customHeight="1" x14ac:dyDescent="0.3">
      <c r="B294" s="69" t="s">
        <v>1263</v>
      </c>
      <c r="C294" s="70">
        <v>0.81705107970864632</v>
      </c>
      <c r="D294" s="71" t="s">
        <v>1001</v>
      </c>
      <c r="E294" s="72">
        <f t="shared" si="4"/>
        <v>0.72399999999999998</v>
      </c>
      <c r="F294" s="73">
        <v>0.50776484918472542</v>
      </c>
      <c r="G294" s="73" t="s">
        <v>1488</v>
      </c>
      <c r="H294" s="74"/>
      <c r="J294" s="82"/>
    </row>
    <row r="295" spans="2:10" ht="20.100000000000001" customHeight="1" x14ac:dyDescent="0.3">
      <c r="B295" s="69" t="s">
        <v>1264</v>
      </c>
      <c r="C295" s="70">
        <v>0.77251780206403275</v>
      </c>
      <c r="D295" s="71" t="s">
        <v>974</v>
      </c>
      <c r="E295" s="72">
        <f t="shared" si="4"/>
        <v>0.64800000000000002</v>
      </c>
      <c r="F295" s="73">
        <v>0.46241653789073101</v>
      </c>
      <c r="G295" s="73"/>
      <c r="H295" s="74"/>
      <c r="J295" s="82"/>
    </row>
    <row r="296" spans="2:10" ht="20.100000000000001" customHeight="1" x14ac:dyDescent="0.3">
      <c r="B296" s="69" t="s">
        <v>1265</v>
      </c>
      <c r="C296" s="70">
        <v>0.7750184169614236</v>
      </c>
      <c r="D296" s="71" t="s">
        <v>914</v>
      </c>
      <c r="E296" s="72">
        <f t="shared" si="4"/>
        <v>0.73699999999999999</v>
      </c>
      <c r="F296" s="73">
        <v>0.49459327021044575</v>
      </c>
      <c r="G296" s="73"/>
      <c r="H296" s="74"/>
      <c r="J296" s="82"/>
    </row>
    <row r="297" spans="2:10" ht="20.100000000000001" customHeight="1" x14ac:dyDescent="0.3">
      <c r="B297" s="69" t="s">
        <v>1266</v>
      </c>
      <c r="C297" s="70">
        <v>0.74449854211960154</v>
      </c>
      <c r="D297" s="71" t="s">
        <v>974</v>
      </c>
      <c r="E297" s="72">
        <f t="shared" si="4"/>
        <v>0.64800000000000002</v>
      </c>
      <c r="F297" s="73">
        <v>0.42118449546827397</v>
      </c>
      <c r="G297" s="73" t="s">
        <v>1486</v>
      </c>
      <c r="H297" s="74"/>
      <c r="J297" s="82"/>
    </row>
    <row r="298" spans="2:10" ht="20.100000000000001" customHeight="1" x14ac:dyDescent="0.3">
      <c r="B298" s="69" t="s">
        <v>1267</v>
      </c>
      <c r="C298" s="70">
        <v>0.76709563709836681</v>
      </c>
      <c r="D298" s="71" t="s">
        <v>1001</v>
      </c>
      <c r="E298" s="72">
        <f t="shared" si="4"/>
        <v>0.72399999999999998</v>
      </c>
      <c r="F298" s="73">
        <v>0.47870068803965671</v>
      </c>
      <c r="G298" s="73"/>
      <c r="H298" s="74"/>
      <c r="J298" s="82"/>
    </row>
    <row r="299" spans="2:10" ht="20.100000000000001" customHeight="1" x14ac:dyDescent="0.3">
      <c r="B299" s="69" t="s">
        <v>1268</v>
      </c>
      <c r="C299" s="70">
        <v>0.74061124971070369</v>
      </c>
      <c r="D299" s="71" t="s">
        <v>934</v>
      </c>
      <c r="E299" s="72">
        <f t="shared" si="4"/>
        <v>0.68799999999999994</v>
      </c>
      <c r="F299" s="73">
        <v>0.60089860469427359</v>
      </c>
      <c r="G299" s="73" t="s">
        <v>1488</v>
      </c>
      <c r="H299" s="74">
        <v>9</v>
      </c>
      <c r="J299" s="82"/>
    </row>
    <row r="300" spans="2:10" ht="20.100000000000001" customHeight="1" x14ac:dyDescent="0.3">
      <c r="B300" s="69" t="s">
        <v>1269</v>
      </c>
      <c r="C300" s="70">
        <v>0.78900626627050474</v>
      </c>
      <c r="D300" s="71" t="s">
        <v>920</v>
      </c>
      <c r="E300" s="72">
        <f t="shared" si="4"/>
        <v>0.76600000000000001</v>
      </c>
      <c r="F300" s="73">
        <v>0.38184131676753785</v>
      </c>
      <c r="G300" s="73"/>
      <c r="H300" s="74" t="s">
        <v>1270</v>
      </c>
      <c r="J300" s="82"/>
    </row>
    <row r="301" spans="2:10" ht="20.100000000000001" customHeight="1" x14ac:dyDescent="0.3">
      <c r="B301" s="69" t="s">
        <v>1271</v>
      </c>
      <c r="C301" s="70">
        <v>0.69252322339301564</v>
      </c>
      <c r="D301" s="71" t="s">
        <v>977</v>
      </c>
      <c r="E301" s="72">
        <f t="shared" si="4"/>
        <v>0.73699999999999999</v>
      </c>
      <c r="F301" s="73">
        <v>0.45146362626644043</v>
      </c>
      <c r="G301" s="73" t="s">
        <v>1486</v>
      </c>
      <c r="H301" s="74">
        <v>4</v>
      </c>
      <c r="J301" s="82"/>
    </row>
    <row r="302" spans="2:10" ht="20.100000000000001" customHeight="1" x14ac:dyDescent="0.3">
      <c r="B302" s="69" t="s">
        <v>1272</v>
      </c>
      <c r="C302" s="70">
        <v>0.83391458849771949</v>
      </c>
      <c r="D302" s="71" t="s">
        <v>958</v>
      </c>
      <c r="E302" s="72">
        <f t="shared" si="4"/>
        <v>0.79600000000000004</v>
      </c>
      <c r="F302" s="73">
        <v>0.30848471199552452</v>
      </c>
      <c r="G302" s="73"/>
      <c r="H302" s="74"/>
      <c r="J302" s="82"/>
    </row>
    <row r="303" spans="2:10" ht="20.100000000000001" customHeight="1" x14ac:dyDescent="0.3">
      <c r="B303" s="69" t="s">
        <v>1273</v>
      </c>
      <c r="C303" s="70">
        <v>0.6692046369590452</v>
      </c>
      <c r="D303" s="77" t="s">
        <v>1028</v>
      </c>
      <c r="E303" s="72">
        <f t="shared" si="4"/>
        <v>0.66500000000000004</v>
      </c>
      <c r="F303" s="73">
        <v>0.64894451086116012</v>
      </c>
      <c r="G303" s="73" t="s">
        <v>1486</v>
      </c>
      <c r="H303" s="74"/>
      <c r="J303" s="82"/>
    </row>
    <row r="304" spans="2:10" ht="20.100000000000001" customHeight="1" x14ac:dyDescent="0.3">
      <c r="B304" s="69" t="s">
        <v>1274</v>
      </c>
      <c r="C304" s="70">
        <v>0.76111815894361756</v>
      </c>
      <c r="D304" s="71" t="s">
        <v>940</v>
      </c>
      <c r="E304" s="72">
        <f t="shared" si="4"/>
        <v>0.73399999999999999</v>
      </c>
      <c r="F304" s="73">
        <v>0.47657763276327991</v>
      </c>
      <c r="G304" s="73"/>
      <c r="H304" s="74"/>
      <c r="J304" s="82"/>
    </row>
    <row r="305" spans="2:10" ht="20.100000000000001" customHeight="1" x14ac:dyDescent="0.3">
      <c r="B305" s="69" t="s">
        <v>1275</v>
      </c>
      <c r="C305" s="70">
        <v>0.68323276149231105</v>
      </c>
      <c r="D305" s="71" t="s">
        <v>1172</v>
      </c>
      <c r="E305" s="72">
        <f t="shared" si="4"/>
        <v>0.68</v>
      </c>
      <c r="F305" s="73">
        <v>0.52532689079862727</v>
      </c>
      <c r="G305" s="73"/>
      <c r="H305" s="74"/>
      <c r="J305" s="82"/>
    </row>
    <row r="306" spans="2:10" ht="20.100000000000001" customHeight="1" x14ac:dyDescent="0.3">
      <c r="B306" s="69" t="s">
        <v>1276</v>
      </c>
      <c r="C306" s="70">
        <v>0.65992013370315417</v>
      </c>
      <c r="D306" s="71" t="s">
        <v>977</v>
      </c>
      <c r="E306" s="72">
        <f t="shared" si="4"/>
        <v>0.73699999999999999</v>
      </c>
      <c r="F306" s="73">
        <v>0.59646329141266063</v>
      </c>
      <c r="G306" s="73" t="s">
        <v>1486</v>
      </c>
      <c r="H306" s="74"/>
      <c r="J306" s="82"/>
    </row>
    <row r="307" spans="2:10" ht="20.100000000000001" customHeight="1" x14ac:dyDescent="0.3">
      <c r="B307" s="69" t="s">
        <v>1277</v>
      </c>
      <c r="C307" s="70">
        <v>0.70949675423505931</v>
      </c>
      <c r="D307" s="71" t="s">
        <v>977</v>
      </c>
      <c r="E307" s="72">
        <f t="shared" si="4"/>
        <v>0.73699999999999999</v>
      </c>
      <c r="F307" s="73">
        <v>0.48641657894620982</v>
      </c>
      <c r="G307" s="73" t="s">
        <v>1486</v>
      </c>
      <c r="H307" s="74"/>
      <c r="J307" s="82"/>
    </row>
    <row r="308" spans="2:10" ht="20.100000000000001" customHeight="1" x14ac:dyDescent="0.3">
      <c r="B308" s="69" t="s">
        <v>1278</v>
      </c>
      <c r="C308" s="70">
        <v>0.77619525871698969</v>
      </c>
      <c r="D308" s="71" t="s">
        <v>931</v>
      </c>
      <c r="E308" s="72">
        <f t="shared" si="4"/>
        <v>0.76900000000000002</v>
      </c>
      <c r="F308" s="73">
        <v>0.37889303198538826</v>
      </c>
      <c r="G308" s="73"/>
      <c r="H308" s="74">
        <v>1</v>
      </c>
      <c r="J308" s="82"/>
    </row>
    <row r="309" spans="2:10" ht="20.100000000000001" customHeight="1" x14ac:dyDescent="0.3">
      <c r="B309" s="69" t="s">
        <v>1279</v>
      </c>
      <c r="C309" s="70">
        <v>0.80145364616860149</v>
      </c>
      <c r="D309" s="71" t="s">
        <v>967</v>
      </c>
      <c r="E309" s="72">
        <f t="shared" si="4"/>
        <v>0.76200000000000001</v>
      </c>
      <c r="F309" s="73">
        <v>0.38096470949672212</v>
      </c>
      <c r="G309" s="73"/>
      <c r="H309" s="74" t="s">
        <v>949</v>
      </c>
      <c r="J309" s="82"/>
    </row>
    <row r="310" spans="2:10" ht="20.100000000000001" customHeight="1" x14ac:dyDescent="0.3">
      <c r="B310" s="69" t="s">
        <v>1280</v>
      </c>
      <c r="C310" s="70">
        <v>0.70614103194084399</v>
      </c>
      <c r="D310" s="71" t="s">
        <v>955</v>
      </c>
      <c r="E310" s="72">
        <f t="shared" si="4"/>
        <v>0.73799999999999999</v>
      </c>
      <c r="F310" s="73">
        <v>0.51550929462520778</v>
      </c>
      <c r="G310" s="73"/>
      <c r="H310" s="74"/>
      <c r="J310" s="82"/>
    </row>
    <row r="311" spans="2:10" ht="20.100000000000001" customHeight="1" x14ac:dyDescent="0.3">
      <c r="B311" s="69" t="s">
        <v>1281</v>
      </c>
      <c r="C311" s="70">
        <v>0.76858924604493495</v>
      </c>
      <c r="D311" s="71" t="s">
        <v>946</v>
      </c>
      <c r="E311" s="72">
        <f t="shared" si="4"/>
        <v>0.67200000000000004</v>
      </c>
      <c r="F311" s="73">
        <v>0.49102975234035762</v>
      </c>
      <c r="G311" s="73" t="s">
        <v>1486</v>
      </c>
      <c r="H311" s="74"/>
      <c r="J311" s="82"/>
    </row>
    <row r="312" spans="2:10" ht="20.100000000000001" customHeight="1" x14ac:dyDescent="0.3">
      <c r="B312" s="69" t="s">
        <v>1282</v>
      </c>
      <c r="C312" s="70">
        <v>0.63999823454194438</v>
      </c>
      <c r="D312" s="71" t="s">
        <v>946</v>
      </c>
      <c r="E312" s="72">
        <f t="shared" si="4"/>
        <v>0.67200000000000004</v>
      </c>
      <c r="F312" s="73">
        <v>0.70984219739939203</v>
      </c>
      <c r="G312" s="73" t="s">
        <v>1487</v>
      </c>
      <c r="H312" s="74"/>
      <c r="J312" s="82"/>
    </row>
    <row r="313" spans="2:10" ht="20.100000000000001" customHeight="1" x14ac:dyDescent="0.3">
      <c r="B313" s="69" t="s">
        <v>1283</v>
      </c>
      <c r="C313" s="70">
        <v>0.81516523740897662</v>
      </c>
      <c r="D313" s="71" t="s">
        <v>920</v>
      </c>
      <c r="E313" s="72">
        <f t="shared" si="4"/>
        <v>0.76600000000000001</v>
      </c>
      <c r="F313" s="73">
        <v>0.35628535072840273</v>
      </c>
      <c r="G313" s="73"/>
      <c r="H313" s="74"/>
      <c r="J313" s="82"/>
    </row>
    <row r="314" spans="2:10" ht="20.100000000000001" customHeight="1" x14ac:dyDescent="0.3">
      <c r="B314" s="69" t="s">
        <v>1284</v>
      </c>
      <c r="C314" s="70">
        <v>0.71584557249805059</v>
      </c>
      <c r="D314" s="71" t="s">
        <v>946</v>
      </c>
      <c r="E314" s="72">
        <f t="shared" si="4"/>
        <v>0.67200000000000004</v>
      </c>
      <c r="F314" s="73">
        <v>0.5924093827120398</v>
      </c>
      <c r="G314" s="73" t="s">
        <v>1487</v>
      </c>
      <c r="H314" s="74"/>
      <c r="J314" s="82"/>
    </row>
    <row r="315" spans="2:10" ht="20.100000000000001" customHeight="1" x14ac:dyDescent="0.3">
      <c r="B315" s="69" t="s">
        <v>1285</v>
      </c>
      <c r="C315" s="70">
        <v>0.82668922474515671</v>
      </c>
      <c r="D315" s="77" t="s">
        <v>1036</v>
      </c>
      <c r="E315" s="72">
        <f t="shared" si="4"/>
        <v>0.71699999999999997</v>
      </c>
      <c r="F315" s="73">
        <v>0.211329825212797</v>
      </c>
      <c r="G315" s="73"/>
      <c r="H315" s="74"/>
      <c r="J315" s="82"/>
    </row>
    <row r="316" spans="2:10" ht="20.100000000000001" customHeight="1" x14ac:dyDescent="0.3">
      <c r="B316" s="69" t="s">
        <v>1286</v>
      </c>
      <c r="C316" s="70">
        <v>0.75463463097859007</v>
      </c>
      <c r="D316" s="71" t="s">
        <v>934</v>
      </c>
      <c r="E316" s="72">
        <f t="shared" si="4"/>
        <v>0.68799999999999994</v>
      </c>
      <c r="F316" s="73">
        <v>0.56034538212035234</v>
      </c>
      <c r="G316" s="73" t="s">
        <v>1488</v>
      </c>
      <c r="H316" s="74" t="s">
        <v>992</v>
      </c>
      <c r="J316" s="82"/>
    </row>
    <row r="317" spans="2:10" ht="20.100000000000001" customHeight="1" x14ac:dyDescent="0.3">
      <c r="B317" s="69" t="s">
        <v>1287</v>
      </c>
      <c r="C317" s="70">
        <v>0.7365486256217888</v>
      </c>
      <c r="D317" s="77" t="s">
        <v>952</v>
      </c>
      <c r="E317" s="72">
        <f t="shared" si="4"/>
        <v>0.72599999999999998</v>
      </c>
      <c r="F317" s="73">
        <v>0.19833159058666727</v>
      </c>
      <c r="G317" s="73"/>
      <c r="H317" s="74"/>
      <c r="J317" s="82"/>
    </row>
    <row r="318" spans="2:10" ht="20.100000000000001" customHeight="1" x14ac:dyDescent="0.3">
      <c r="B318" s="69" t="s">
        <v>1288</v>
      </c>
      <c r="C318" s="70">
        <v>0.78470911411125122</v>
      </c>
      <c r="D318" s="77" t="s">
        <v>917</v>
      </c>
      <c r="E318" s="72">
        <f t="shared" si="4"/>
        <v>0.70599999999999996</v>
      </c>
      <c r="F318" s="73">
        <v>0.22449708081028014</v>
      </c>
      <c r="G318" s="73" t="s">
        <v>1486</v>
      </c>
      <c r="H318" s="74">
        <v>5</v>
      </c>
      <c r="J318" s="82"/>
    </row>
    <row r="319" spans="2:10" ht="20.100000000000001" customHeight="1" x14ac:dyDescent="0.3">
      <c r="B319" s="69" t="s">
        <v>1289</v>
      </c>
      <c r="C319" s="70">
        <v>0.73602749245776478</v>
      </c>
      <c r="D319" s="71" t="s">
        <v>934</v>
      </c>
      <c r="E319" s="72">
        <f t="shared" si="4"/>
        <v>0.68799999999999994</v>
      </c>
      <c r="F319" s="73">
        <v>0.68529454662226552</v>
      </c>
      <c r="G319" s="73" t="s">
        <v>1488</v>
      </c>
      <c r="H319" s="74" t="s">
        <v>949</v>
      </c>
      <c r="J319" s="82"/>
    </row>
    <row r="320" spans="2:10" ht="20.100000000000001" customHeight="1" x14ac:dyDescent="0.3">
      <c r="B320" s="69" t="s">
        <v>1290</v>
      </c>
      <c r="C320" s="70">
        <v>0.66504141624381363</v>
      </c>
      <c r="D320" s="71" t="s">
        <v>946</v>
      </c>
      <c r="E320" s="72">
        <f t="shared" si="4"/>
        <v>0.67200000000000004</v>
      </c>
      <c r="F320" s="73">
        <v>0.63112670700019324</v>
      </c>
      <c r="G320" s="73" t="s">
        <v>1487</v>
      </c>
      <c r="H320" s="74"/>
      <c r="J320" s="82"/>
    </row>
    <row r="321" spans="2:10" ht="20.100000000000001" customHeight="1" x14ac:dyDescent="0.3">
      <c r="B321" s="69" t="s">
        <v>1291</v>
      </c>
      <c r="C321" s="70">
        <v>0.58170239217233843</v>
      </c>
      <c r="D321" s="71" t="s">
        <v>958</v>
      </c>
      <c r="E321" s="72">
        <f t="shared" si="4"/>
        <v>0.79600000000000004</v>
      </c>
      <c r="F321" s="73">
        <v>0.49633392256862441</v>
      </c>
      <c r="G321" s="73"/>
      <c r="H321" s="74">
        <v>2</v>
      </c>
      <c r="J321" s="82"/>
    </row>
    <row r="322" spans="2:10" ht="20.100000000000001" customHeight="1" x14ac:dyDescent="0.3">
      <c r="B322" s="69" t="s">
        <v>1292</v>
      </c>
      <c r="C322" s="70">
        <v>0.71635919651859981</v>
      </c>
      <c r="D322" s="71" t="s">
        <v>1019</v>
      </c>
      <c r="E322" s="72">
        <f t="shared" si="4"/>
        <v>0.72499999999999998</v>
      </c>
      <c r="F322" s="73">
        <v>0.66996488156970058</v>
      </c>
      <c r="G322" s="73" t="s">
        <v>1488</v>
      </c>
      <c r="H322" s="74"/>
      <c r="J322" s="82"/>
    </row>
    <row r="323" spans="2:10" ht="20.100000000000001" customHeight="1" x14ac:dyDescent="0.3">
      <c r="B323" s="69" t="s">
        <v>1293</v>
      </c>
      <c r="C323" s="70">
        <v>0.68874118651944582</v>
      </c>
      <c r="D323" s="71" t="s">
        <v>946</v>
      </c>
      <c r="E323" s="72">
        <f t="shared" si="4"/>
        <v>0.67200000000000004</v>
      </c>
      <c r="F323" s="73">
        <v>0.65478673888531713</v>
      </c>
      <c r="G323" s="73" t="s">
        <v>1487</v>
      </c>
      <c r="H323" s="74" t="s">
        <v>949</v>
      </c>
      <c r="J323" s="82"/>
    </row>
    <row r="324" spans="2:10" ht="20.100000000000001" customHeight="1" x14ac:dyDescent="0.3">
      <c r="B324" s="69" t="s">
        <v>1294</v>
      </c>
      <c r="C324" s="70">
        <v>0.70773906663555708</v>
      </c>
      <c r="D324" s="71" t="s">
        <v>934</v>
      </c>
      <c r="E324" s="72">
        <f t="shared" ref="E324:E387" si="5">VLOOKUP(D324,$J$5:$K$32,2,0)</f>
        <v>0.68799999999999994</v>
      </c>
      <c r="F324" s="73">
        <v>0.6632898042682901</v>
      </c>
      <c r="G324" s="73" t="s">
        <v>1488</v>
      </c>
      <c r="H324" s="74">
        <v>2</v>
      </c>
      <c r="J324" s="82"/>
    </row>
    <row r="325" spans="2:10" ht="20.100000000000001" customHeight="1" x14ac:dyDescent="0.3">
      <c r="B325" s="69" t="s">
        <v>1295</v>
      </c>
      <c r="C325" s="70">
        <v>0.78596948886683737</v>
      </c>
      <c r="D325" s="71" t="s">
        <v>955</v>
      </c>
      <c r="E325" s="72">
        <f t="shared" si="5"/>
        <v>0.73799999999999999</v>
      </c>
      <c r="F325" s="73">
        <v>0.34677809840508544</v>
      </c>
      <c r="G325" s="73"/>
      <c r="H325" s="74"/>
      <c r="J325" s="82"/>
    </row>
    <row r="326" spans="2:10" ht="20.100000000000001" customHeight="1" x14ac:dyDescent="0.3">
      <c r="B326" s="69" t="s">
        <v>1296</v>
      </c>
      <c r="C326" s="70">
        <v>0.78666790574947842</v>
      </c>
      <c r="D326" s="71" t="s">
        <v>931</v>
      </c>
      <c r="E326" s="72">
        <f t="shared" si="5"/>
        <v>0.76900000000000002</v>
      </c>
      <c r="F326" s="73">
        <v>0.34010868105632241</v>
      </c>
      <c r="G326" s="73"/>
      <c r="H326" s="74">
        <v>5</v>
      </c>
      <c r="J326" s="82"/>
    </row>
    <row r="327" spans="2:10" ht="20.100000000000001" customHeight="1" x14ac:dyDescent="0.3">
      <c r="B327" s="69" t="s">
        <v>1297</v>
      </c>
      <c r="C327" s="70">
        <v>0.77180805154808807</v>
      </c>
      <c r="D327" s="71" t="s">
        <v>967</v>
      </c>
      <c r="E327" s="72">
        <f t="shared" si="5"/>
        <v>0.76200000000000001</v>
      </c>
      <c r="F327" s="73">
        <v>0.4679058522380567</v>
      </c>
      <c r="G327" s="73" t="s">
        <v>1488</v>
      </c>
      <c r="H327" s="74"/>
      <c r="J327" s="82"/>
    </row>
    <row r="328" spans="2:10" ht="20.100000000000001" customHeight="1" x14ac:dyDescent="0.3">
      <c r="B328" s="69" t="s">
        <v>1298</v>
      </c>
      <c r="C328" s="70">
        <v>0.73117985957064602</v>
      </c>
      <c r="D328" s="71" t="s">
        <v>964</v>
      </c>
      <c r="E328" s="72">
        <f t="shared" si="5"/>
        <v>0.73499999999999999</v>
      </c>
      <c r="F328" s="73">
        <v>0.37523989418995041</v>
      </c>
      <c r="G328" s="73"/>
      <c r="H328" s="74"/>
      <c r="J328" s="82"/>
    </row>
    <row r="329" spans="2:10" ht="20.100000000000001" customHeight="1" x14ac:dyDescent="0.3">
      <c r="B329" s="69" t="s">
        <v>1299</v>
      </c>
      <c r="C329" s="70">
        <v>0.81748581459421432</v>
      </c>
      <c r="D329" s="71" t="s">
        <v>943</v>
      </c>
      <c r="E329" s="72">
        <f t="shared" si="5"/>
        <v>0.76400000000000001</v>
      </c>
      <c r="F329" s="73">
        <v>0.26642073185443038</v>
      </c>
      <c r="G329" s="73"/>
      <c r="H329" s="74"/>
      <c r="J329" s="82"/>
    </row>
    <row r="330" spans="2:10" ht="20.100000000000001" customHeight="1" x14ac:dyDescent="0.3">
      <c r="B330" s="69" t="s">
        <v>1300</v>
      </c>
      <c r="C330" s="70">
        <v>0.71456481361733526</v>
      </c>
      <c r="D330" s="77" t="s">
        <v>923</v>
      </c>
      <c r="E330" s="72">
        <f t="shared" si="5"/>
        <v>0.748</v>
      </c>
      <c r="F330" s="73">
        <v>0.67937272639664947</v>
      </c>
      <c r="G330" s="73" t="s">
        <v>1488</v>
      </c>
      <c r="H330" s="74"/>
      <c r="J330" s="82"/>
    </row>
    <row r="331" spans="2:10" ht="20.100000000000001" customHeight="1" x14ac:dyDescent="0.3">
      <c r="B331" s="69" t="s">
        <v>1301</v>
      </c>
      <c r="C331" s="70">
        <v>0.74329347512293564</v>
      </c>
      <c r="D331" s="77" t="s">
        <v>923</v>
      </c>
      <c r="E331" s="72">
        <f t="shared" si="5"/>
        <v>0.748</v>
      </c>
      <c r="F331" s="73">
        <v>0.62349701861873497</v>
      </c>
      <c r="G331" s="73" t="s">
        <v>1488</v>
      </c>
      <c r="H331" s="74"/>
      <c r="J331" s="82"/>
    </row>
    <row r="332" spans="2:10" ht="20.100000000000001" customHeight="1" x14ac:dyDescent="0.3">
      <c r="B332" s="69" t="s">
        <v>1302</v>
      </c>
      <c r="C332" s="70">
        <v>0.69831243523029396</v>
      </c>
      <c r="D332" s="77" t="s">
        <v>923</v>
      </c>
      <c r="E332" s="72">
        <f t="shared" si="5"/>
        <v>0.748</v>
      </c>
      <c r="F332" s="73">
        <v>0.69289945627386906</v>
      </c>
      <c r="G332" s="73" t="s">
        <v>1488</v>
      </c>
      <c r="H332" s="74"/>
      <c r="J332" s="82"/>
    </row>
    <row r="333" spans="2:10" ht="20.100000000000001" customHeight="1" x14ac:dyDescent="0.3">
      <c r="B333" s="69" t="s">
        <v>1303</v>
      </c>
      <c r="C333" s="70">
        <v>0.69398456627323402</v>
      </c>
      <c r="D333" s="71" t="s">
        <v>1019</v>
      </c>
      <c r="E333" s="72">
        <f t="shared" si="5"/>
        <v>0.72499999999999998</v>
      </c>
      <c r="F333" s="73">
        <v>0.74737935164772085</v>
      </c>
      <c r="G333" s="73" t="s">
        <v>1488</v>
      </c>
      <c r="H333" s="74"/>
      <c r="J333" s="82"/>
    </row>
    <row r="334" spans="2:10" ht="20.100000000000001" customHeight="1" x14ac:dyDescent="0.3">
      <c r="B334" s="69" t="s">
        <v>1304</v>
      </c>
      <c r="C334" s="70">
        <v>0.75791912536032258</v>
      </c>
      <c r="D334" s="71" t="s">
        <v>955</v>
      </c>
      <c r="E334" s="72">
        <f t="shared" si="5"/>
        <v>0.73799999999999999</v>
      </c>
      <c r="F334" s="73">
        <v>0.48855323452787169</v>
      </c>
      <c r="G334" s="73"/>
      <c r="H334" s="74">
        <v>1</v>
      </c>
      <c r="J334" s="82"/>
    </row>
    <row r="335" spans="2:10" ht="20.100000000000001" customHeight="1" x14ac:dyDescent="0.3">
      <c r="B335" s="69" t="s">
        <v>1305</v>
      </c>
      <c r="C335" s="70">
        <v>0.78582847062859784</v>
      </c>
      <c r="D335" s="71" t="s">
        <v>1172</v>
      </c>
      <c r="E335" s="72">
        <f t="shared" si="5"/>
        <v>0.68</v>
      </c>
      <c r="F335" s="73">
        <v>0.33385087543475367</v>
      </c>
      <c r="G335" s="73"/>
      <c r="H335" s="74">
        <v>1</v>
      </c>
      <c r="J335" s="82"/>
    </row>
    <row r="336" spans="2:10" ht="20.100000000000001" customHeight="1" x14ac:dyDescent="0.3">
      <c r="B336" s="69" t="s">
        <v>1306</v>
      </c>
      <c r="C336" s="70">
        <v>0.71863894289653896</v>
      </c>
      <c r="D336" s="71" t="s">
        <v>955</v>
      </c>
      <c r="E336" s="72">
        <f t="shared" si="5"/>
        <v>0.73799999999999999</v>
      </c>
      <c r="F336" s="73">
        <v>0.53127133721921804</v>
      </c>
      <c r="G336" s="73"/>
      <c r="H336" s="74">
        <v>9</v>
      </c>
      <c r="J336" s="82"/>
    </row>
    <row r="337" spans="2:10" ht="20.100000000000001" customHeight="1" x14ac:dyDescent="0.3">
      <c r="B337" s="69" t="s">
        <v>1307</v>
      </c>
      <c r="C337" s="70">
        <v>0.78019085810945465</v>
      </c>
      <c r="D337" s="71" t="s">
        <v>958</v>
      </c>
      <c r="E337" s="72">
        <f t="shared" si="5"/>
        <v>0.79600000000000004</v>
      </c>
      <c r="F337" s="73">
        <v>0.41499668817675195</v>
      </c>
      <c r="G337" s="73"/>
      <c r="H337" s="74"/>
      <c r="J337" s="82"/>
    </row>
    <row r="338" spans="2:10" ht="20.100000000000001" customHeight="1" x14ac:dyDescent="0.3">
      <c r="B338" s="69" t="s">
        <v>1308</v>
      </c>
      <c r="C338" s="70">
        <v>0.7569468177253682</v>
      </c>
      <c r="D338" s="71" t="s">
        <v>955</v>
      </c>
      <c r="E338" s="72">
        <f t="shared" si="5"/>
        <v>0.73799999999999999</v>
      </c>
      <c r="F338" s="73">
        <v>0.48459517135594643</v>
      </c>
      <c r="G338" s="73"/>
      <c r="H338" s="74" t="s">
        <v>949</v>
      </c>
      <c r="J338" s="82"/>
    </row>
    <row r="339" spans="2:10" ht="20.100000000000001" customHeight="1" x14ac:dyDescent="0.3">
      <c r="B339" s="69" t="s">
        <v>1309</v>
      </c>
      <c r="C339" s="70">
        <v>0.68142536272445819</v>
      </c>
      <c r="D339" s="77" t="s">
        <v>926</v>
      </c>
      <c r="E339" s="72">
        <f t="shared" si="5"/>
        <v>0.66400000000000003</v>
      </c>
      <c r="F339" s="73">
        <v>0.8</v>
      </c>
      <c r="G339" s="73" t="s">
        <v>1487</v>
      </c>
      <c r="H339" s="74"/>
      <c r="J339" s="82"/>
    </row>
    <row r="340" spans="2:10" ht="20.100000000000001" customHeight="1" x14ac:dyDescent="0.3">
      <c r="B340" s="69" t="s">
        <v>1310</v>
      </c>
      <c r="C340" s="70">
        <v>0.80829928329418088</v>
      </c>
      <c r="D340" s="71" t="s">
        <v>967</v>
      </c>
      <c r="E340" s="72">
        <f t="shared" si="5"/>
        <v>0.76200000000000001</v>
      </c>
      <c r="F340" s="73">
        <v>0.31437474019899492</v>
      </c>
      <c r="G340" s="73"/>
      <c r="H340" s="74"/>
      <c r="J340" s="82"/>
    </row>
    <row r="341" spans="2:10" ht="20.100000000000001" customHeight="1" x14ac:dyDescent="0.3">
      <c r="B341" s="69" t="s">
        <v>1311</v>
      </c>
      <c r="C341" s="70">
        <v>0.77227522066799237</v>
      </c>
      <c r="D341" s="77" t="s">
        <v>917</v>
      </c>
      <c r="E341" s="72">
        <f t="shared" si="5"/>
        <v>0.70599999999999996</v>
      </c>
      <c r="F341" s="73">
        <v>0.43625890089032904</v>
      </c>
      <c r="G341" s="73" t="s">
        <v>1486</v>
      </c>
      <c r="H341" s="74" t="s">
        <v>992</v>
      </c>
      <c r="J341" s="82"/>
    </row>
    <row r="342" spans="2:10" ht="20.100000000000001" customHeight="1" x14ac:dyDescent="0.3">
      <c r="B342" s="69" t="s">
        <v>1312</v>
      </c>
      <c r="C342" s="70">
        <v>0.7644814064559613</v>
      </c>
      <c r="D342" s="77" t="s">
        <v>1009</v>
      </c>
      <c r="E342" s="72">
        <f t="shared" si="5"/>
        <v>0.80900000000000005</v>
      </c>
      <c r="F342" s="73">
        <v>0.43115930421098425</v>
      </c>
      <c r="G342" s="73"/>
      <c r="H342" s="74"/>
      <c r="J342" s="82"/>
    </row>
    <row r="343" spans="2:10" ht="20.100000000000001" customHeight="1" x14ac:dyDescent="0.3">
      <c r="B343" s="69" t="s">
        <v>1313</v>
      </c>
      <c r="C343" s="70">
        <v>0.61748052372339812</v>
      </c>
      <c r="D343" s="77" t="s">
        <v>996</v>
      </c>
      <c r="E343" s="72">
        <f t="shared" si="5"/>
        <v>0.68300000000000005</v>
      </c>
      <c r="F343" s="73">
        <v>0.7590238809355786</v>
      </c>
      <c r="G343" s="73" t="s">
        <v>1488</v>
      </c>
      <c r="H343" s="74"/>
      <c r="J343" s="82"/>
    </row>
    <row r="344" spans="2:10" ht="20.100000000000001" customHeight="1" x14ac:dyDescent="0.3">
      <c r="B344" s="69" t="s">
        <v>1314</v>
      </c>
      <c r="C344" s="70">
        <v>0.77664010302923081</v>
      </c>
      <c r="D344" s="71" t="s">
        <v>955</v>
      </c>
      <c r="E344" s="72">
        <f t="shared" si="5"/>
        <v>0.73799999999999999</v>
      </c>
      <c r="F344" s="73">
        <v>0.48373330890799549</v>
      </c>
      <c r="G344" s="73"/>
      <c r="H344" s="74"/>
      <c r="J344" s="82"/>
    </row>
    <row r="345" spans="2:10" ht="20.100000000000001" customHeight="1" x14ac:dyDescent="0.3">
      <c r="B345" s="69" t="s">
        <v>1315</v>
      </c>
      <c r="C345" s="70">
        <v>0.71131605505285889</v>
      </c>
      <c r="D345" s="77" t="s">
        <v>1028</v>
      </c>
      <c r="E345" s="72">
        <f t="shared" si="5"/>
        <v>0.66500000000000004</v>
      </c>
      <c r="F345" s="73">
        <v>0.57234889506462749</v>
      </c>
      <c r="G345" s="73" t="s">
        <v>1486</v>
      </c>
      <c r="H345" s="74"/>
      <c r="J345" s="82"/>
    </row>
    <row r="346" spans="2:10" ht="20.100000000000001" customHeight="1" x14ac:dyDescent="0.3">
      <c r="B346" s="69" t="s">
        <v>1316</v>
      </c>
      <c r="C346" s="70">
        <v>0.74500475704544389</v>
      </c>
      <c r="D346" s="71" t="s">
        <v>934</v>
      </c>
      <c r="E346" s="72">
        <f t="shared" si="5"/>
        <v>0.68799999999999994</v>
      </c>
      <c r="F346" s="73">
        <v>0.58994087351753277</v>
      </c>
      <c r="G346" s="73" t="s">
        <v>1488</v>
      </c>
      <c r="H346" s="74" t="s">
        <v>1010</v>
      </c>
      <c r="J346" s="82"/>
    </row>
    <row r="347" spans="2:10" ht="20.100000000000001" customHeight="1" x14ac:dyDescent="0.3">
      <c r="B347" s="69" t="s">
        <v>1317</v>
      </c>
      <c r="C347" s="70">
        <v>0.73703917491391646</v>
      </c>
      <c r="D347" s="71" t="s">
        <v>946</v>
      </c>
      <c r="E347" s="72">
        <f t="shared" si="5"/>
        <v>0.67200000000000004</v>
      </c>
      <c r="F347" s="73">
        <v>0.459377725707795</v>
      </c>
      <c r="G347" s="73" t="s">
        <v>1486</v>
      </c>
      <c r="H347" s="74"/>
      <c r="J347" s="82"/>
    </row>
    <row r="348" spans="2:10" ht="20.100000000000001" customHeight="1" x14ac:dyDescent="0.3">
      <c r="B348" s="69" t="s">
        <v>1318</v>
      </c>
      <c r="C348" s="70">
        <v>0.69249331334254005</v>
      </c>
      <c r="D348" s="71" t="s">
        <v>977</v>
      </c>
      <c r="E348" s="72">
        <f t="shared" si="5"/>
        <v>0.73699999999999999</v>
      </c>
      <c r="F348" s="73">
        <v>0.52184746180311647</v>
      </c>
      <c r="G348" s="73" t="s">
        <v>1486</v>
      </c>
      <c r="H348" s="74"/>
      <c r="J348" s="82"/>
    </row>
    <row r="349" spans="2:10" ht="20.100000000000001" customHeight="1" x14ac:dyDescent="0.3">
      <c r="B349" s="69" t="s">
        <v>1319</v>
      </c>
      <c r="C349" s="70">
        <v>0.70374671272136913</v>
      </c>
      <c r="D349" s="71" t="s">
        <v>1172</v>
      </c>
      <c r="E349" s="72">
        <f t="shared" si="5"/>
        <v>0.68</v>
      </c>
      <c r="F349" s="73">
        <v>0.47131748786113581</v>
      </c>
      <c r="G349" s="73"/>
      <c r="H349" s="74">
        <v>8</v>
      </c>
      <c r="J349" s="82"/>
    </row>
    <row r="350" spans="2:10" ht="20.100000000000001" customHeight="1" x14ac:dyDescent="0.3">
      <c r="B350" s="69" t="s">
        <v>1320</v>
      </c>
      <c r="C350" s="70">
        <v>0.76462045774923726</v>
      </c>
      <c r="D350" s="71" t="s">
        <v>955</v>
      </c>
      <c r="E350" s="72">
        <f t="shared" si="5"/>
        <v>0.73799999999999999</v>
      </c>
      <c r="F350" s="73">
        <v>0.33012097886687153</v>
      </c>
      <c r="G350" s="73"/>
      <c r="H350" s="74"/>
      <c r="J350" s="82"/>
    </row>
    <row r="351" spans="2:10" ht="20.100000000000001" customHeight="1" x14ac:dyDescent="0.3">
      <c r="B351" s="69" t="s">
        <v>1321</v>
      </c>
      <c r="C351" s="70">
        <v>0.73421464480369236</v>
      </c>
      <c r="D351" s="71" t="s">
        <v>934</v>
      </c>
      <c r="E351" s="72">
        <f t="shared" si="5"/>
        <v>0.68799999999999994</v>
      </c>
      <c r="F351" s="73">
        <v>0.58760131021754691</v>
      </c>
      <c r="G351" s="73" t="s">
        <v>1488</v>
      </c>
      <c r="H351" s="74">
        <v>3</v>
      </c>
      <c r="J351" s="82"/>
    </row>
    <row r="352" spans="2:10" ht="20.100000000000001" customHeight="1" x14ac:dyDescent="0.3">
      <c r="B352" s="69" t="s">
        <v>1322</v>
      </c>
      <c r="C352" s="70">
        <v>0.76511618465740194</v>
      </c>
      <c r="D352" s="71" t="s">
        <v>1019</v>
      </c>
      <c r="E352" s="72">
        <f t="shared" si="5"/>
        <v>0.72499999999999998</v>
      </c>
      <c r="F352" s="73">
        <v>0.54486456113173654</v>
      </c>
      <c r="G352" s="73" t="s">
        <v>1488</v>
      </c>
      <c r="H352" s="74"/>
      <c r="J352" s="82"/>
    </row>
    <row r="353" spans="2:10" ht="20.100000000000001" customHeight="1" x14ac:dyDescent="0.3">
      <c r="B353" s="69" t="s">
        <v>1323</v>
      </c>
      <c r="C353" s="70">
        <v>0.74749629525125938</v>
      </c>
      <c r="D353" s="71" t="s">
        <v>1172</v>
      </c>
      <c r="E353" s="72">
        <f t="shared" si="5"/>
        <v>0.68</v>
      </c>
      <c r="F353" s="73">
        <v>0.45249844900306135</v>
      </c>
      <c r="G353" s="73"/>
      <c r="H353" s="74"/>
      <c r="J353" s="82"/>
    </row>
    <row r="354" spans="2:10" ht="20.100000000000001" customHeight="1" x14ac:dyDescent="0.3">
      <c r="B354" s="69" t="s">
        <v>1324</v>
      </c>
      <c r="C354" s="70">
        <v>0.75867588905411554</v>
      </c>
      <c r="D354" s="71" t="s">
        <v>1001</v>
      </c>
      <c r="E354" s="72">
        <f t="shared" si="5"/>
        <v>0.72399999999999998</v>
      </c>
      <c r="F354" s="73">
        <v>0.51198428716763844</v>
      </c>
      <c r="G354" s="73" t="s">
        <v>1488</v>
      </c>
      <c r="H354" s="74"/>
      <c r="J354" s="82"/>
    </row>
    <row r="355" spans="2:10" ht="20.100000000000001" customHeight="1" x14ac:dyDescent="0.3">
      <c r="B355" s="69" t="s">
        <v>1325</v>
      </c>
      <c r="C355" s="70">
        <v>0.82791476697745758</v>
      </c>
      <c r="D355" s="71" t="s">
        <v>1001</v>
      </c>
      <c r="E355" s="72">
        <f t="shared" si="5"/>
        <v>0.72399999999999998</v>
      </c>
      <c r="F355" s="73">
        <v>0.46658481787652295</v>
      </c>
      <c r="G355" s="73" t="s">
        <v>1488</v>
      </c>
      <c r="H355" s="74"/>
      <c r="J355" s="82"/>
    </row>
    <row r="356" spans="2:10" ht="20.100000000000001" customHeight="1" x14ac:dyDescent="0.3">
      <c r="B356" s="69" t="s">
        <v>1326</v>
      </c>
      <c r="C356" s="70">
        <v>0.80629842810981189</v>
      </c>
      <c r="D356" s="71" t="s">
        <v>1019</v>
      </c>
      <c r="E356" s="72">
        <f t="shared" si="5"/>
        <v>0.72499999999999998</v>
      </c>
      <c r="F356" s="73">
        <v>0.28496351161293865</v>
      </c>
      <c r="G356" s="73" t="s">
        <v>1488</v>
      </c>
      <c r="H356" s="74"/>
      <c r="J356" s="82"/>
    </row>
    <row r="357" spans="2:10" ht="20.100000000000001" customHeight="1" x14ac:dyDescent="0.3">
      <c r="B357" s="69" t="s">
        <v>1327</v>
      </c>
      <c r="C357" s="70">
        <v>0.69727711187288499</v>
      </c>
      <c r="D357" s="77" t="s">
        <v>926</v>
      </c>
      <c r="E357" s="72">
        <f t="shared" si="5"/>
        <v>0.66400000000000003</v>
      </c>
      <c r="F357" s="73">
        <v>0.69343085369196056</v>
      </c>
      <c r="G357" s="73" t="s">
        <v>1487</v>
      </c>
      <c r="H357" s="74" t="s">
        <v>992</v>
      </c>
      <c r="J357" s="82"/>
    </row>
    <row r="358" spans="2:10" ht="20.100000000000001" customHeight="1" x14ac:dyDescent="0.3">
      <c r="B358" s="69" t="s">
        <v>1328</v>
      </c>
      <c r="C358" s="70">
        <v>0.72172830286966472</v>
      </c>
      <c r="D358" s="71" t="s">
        <v>1001</v>
      </c>
      <c r="E358" s="72">
        <f t="shared" si="5"/>
        <v>0.72399999999999998</v>
      </c>
      <c r="F358" s="73">
        <v>0.60188539249724171</v>
      </c>
      <c r="G358" s="73" t="s">
        <v>1488</v>
      </c>
      <c r="H358" s="74"/>
      <c r="J358" s="82"/>
    </row>
    <row r="359" spans="2:10" ht="20.100000000000001" customHeight="1" x14ac:dyDescent="0.3">
      <c r="B359" s="69" t="s">
        <v>1329</v>
      </c>
      <c r="C359" s="70">
        <v>0.81310242808211297</v>
      </c>
      <c r="D359" s="77" t="s">
        <v>1009</v>
      </c>
      <c r="E359" s="72">
        <f t="shared" si="5"/>
        <v>0.80900000000000005</v>
      </c>
      <c r="F359" s="73">
        <v>0.33927788060419717</v>
      </c>
      <c r="G359" s="73"/>
      <c r="H359" s="74">
        <v>5</v>
      </c>
      <c r="J359" s="82"/>
    </row>
    <row r="360" spans="2:10" ht="20.100000000000001" customHeight="1" x14ac:dyDescent="0.3">
      <c r="B360" s="69" t="s">
        <v>1330</v>
      </c>
      <c r="C360" s="70">
        <v>0.73361097169622791</v>
      </c>
      <c r="D360" s="77" t="s">
        <v>1009</v>
      </c>
      <c r="E360" s="72">
        <f t="shared" si="5"/>
        <v>0.80900000000000005</v>
      </c>
      <c r="F360" s="73">
        <v>0.28991171631780738</v>
      </c>
      <c r="G360" s="73"/>
      <c r="H360" s="74"/>
      <c r="J360" s="82"/>
    </row>
    <row r="361" spans="2:10" ht="20.100000000000001" customHeight="1" x14ac:dyDescent="0.3">
      <c r="B361" s="69" t="s">
        <v>1331</v>
      </c>
      <c r="C361" s="70">
        <v>0.77975675541234546</v>
      </c>
      <c r="D361" s="71" t="s">
        <v>1019</v>
      </c>
      <c r="E361" s="72">
        <f t="shared" si="5"/>
        <v>0.72499999999999998</v>
      </c>
      <c r="F361" s="73">
        <v>0.51781953905444866</v>
      </c>
      <c r="G361" s="73"/>
      <c r="H361" s="74"/>
      <c r="J361" s="82"/>
    </row>
    <row r="362" spans="2:10" ht="20.100000000000001" customHeight="1" x14ac:dyDescent="0.3">
      <c r="B362" s="69" t="s">
        <v>1332</v>
      </c>
      <c r="C362" s="70">
        <v>0.79293468163322722</v>
      </c>
      <c r="D362" s="71" t="s">
        <v>940</v>
      </c>
      <c r="E362" s="72">
        <f t="shared" si="5"/>
        <v>0.73399999999999999</v>
      </c>
      <c r="F362" s="73">
        <v>0.35151088641892791</v>
      </c>
      <c r="G362" s="73"/>
      <c r="H362" s="74"/>
      <c r="J362" s="82"/>
    </row>
    <row r="363" spans="2:10" ht="20.100000000000001" customHeight="1" x14ac:dyDescent="0.3">
      <c r="B363" s="69" t="s">
        <v>1333</v>
      </c>
      <c r="C363" s="70">
        <v>0.78682678611599877</v>
      </c>
      <c r="D363" s="71" t="s">
        <v>914</v>
      </c>
      <c r="E363" s="72">
        <f t="shared" si="5"/>
        <v>0.73699999999999999</v>
      </c>
      <c r="F363" s="73">
        <v>0.43078315183433602</v>
      </c>
      <c r="G363" s="73"/>
      <c r="H363" s="74"/>
      <c r="J363" s="82"/>
    </row>
    <row r="364" spans="2:10" ht="20.100000000000001" customHeight="1" x14ac:dyDescent="0.3">
      <c r="B364" s="69" t="s">
        <v>1334</v>
      </c>
      <c r="C364" s="70">
        <v>0.78511298191586865</v>
      </c>
      <c r="D364" s="77" t="s">
        <v>1009</v>
      </c>
      <c r="E364" s="72">
        <f t="shared" si="5"/>
        <v>0.80900000000000005</v>
      </c>
      <c r="F364" s="73">
        <v>0.29366345045611653</v>
      </c>
      <c r="G364" s="73"/>
      <c r="H364" s="74"/>
      <c r="J364" s="82"/>
    </row>
    <row r="365" spans="2:10" ht="20.100000000000001" customHeight="1" x14ac:dyDescent="0.3">
      <c r="B365" s="69" t="s">
        <v>1335</v>
      </c>
      <c r="C365" s="70">
        <v>0.82746213065089469</v>
      </c>
      <c r="D365" s="71" t="s">
        <v>914</v>
      </c>
      <c r="E365" s="72">
        <f t="shared" si="5"/>
        <v>0.73699999999999999</v>
      </c>
      <c r="F365" s="73">
        <v>0.37422285138955613</v>
      </c>
      <c r="G365" s="73"/>
      <c r="H365" s="74"/>
      <c r="J365" s="82"/>
    </row>
    <row r="366" spans="2:10" ht="20.100000000000001" customHeight="1" x14ac:dyDescent="0.3">
      <c r="B366" s="69" t="s">
        <v>1336</v>
      </c>
      <c r="C366" s="70">
        <v>0.77701409848991354</v>
      </c>
      <c r="D366" s="71" t="s">
        <v>955</v>
      </c>
      <c r="E366" s="72">
        <f t="shared" si="5"/>
        <v>0.73799999999999999</v>
      </c>
      <c r="F366" s="73">
        <v>0.3497286034737197</v>
      </c>
      <c r="G366" s="73"/>
      <c r="H366" s="74"/>
      <c r="J366" s="82"/>
    </row>
    <row r="367" spans="2:10" ht="20.100000000000001" customHeight="1" x14ac:dyDescent="0.3">
      <c r="B367" s="69" t="s">
        <v>1337</v>
      </c>
      <c r="C367" s="70">
        <v>0.81360747034755132</v>
      </c>
      <c r="D367" s="71" t="s">
        <v>977</v>
      </c>
      <c r="E367" s="72">
        <f t="shared" si="5"/>
        <v>0.73699999999999999</v>
      </c>
      <c r="F367" s="73">
        <v>0.26487215805793246</v>
      </c>
      <c r="G367" s="73" t="s">
        <v>1486</v>
      </c>
      <c r="H367" s="74"/>
      <c r="J367" s="82"/>
    </row>
    <row r="368" spans="2:10" ht="20.100000000000001" customHeight="1" x14ac:dyDescent="0.3">
      <c r="B368" s="69" t="s">
        <v>1338</v>
      </c>
      <c r="C368" s="70">
        <v>0.76081361024107497</v>
      </c>
      <c r="D368" s="77" t="s">
        <v>926</v>
      </c>
      <c r="E368" s="72">
        <f t="shared" si="5"/>
        <v>0.66400000000000003</v>
      </c>
      <c r="F368" s="73">
        <v>0.41460353490149449</v>
      </c>
      <c r="G368" s="73" t="s">
        <v>1486</v>
      </c>
      <c r="H368" s="74">
        <v>1</v>
      </c>
      <c r="J368" s="82"/>
    </row>
    <row r="369" spans="2:10" ht="20.100000000000001" customHeight="1" x14ac:dyDescent="0.3">
      <c r="B369" s="69" t="s">
        <v>1339</v>
      </c>
      <c r="C369" s="70">
        <v>0.76672163760911149</v>
      </c>
      <c r="D369" s="77" t="s">
        <v>917</v>
      </c>
      <c r="E369" s="72">
        <f t="shared" si="5"/>
        <v>0.70599999999999996</v>
      </c>
      <c r="F369" s="73">
        <v>0.55160528792526042</v>
      </c>
      <c r="G369" s="73" t="s">
        <v>1486</v>
      </c>
      <c r="H369" s="74"/>
      <c r="J369" s="82"/>
    </row>
    <row r="370" spans="2:10" ht="20.100000000000001" customHeight="1" x14ac:dyDescent="0.3">
      <c r="B370" s="69" t="s">
        <v>1340</v>
      </c>
      <c r="C370" s="70">
        <v>0.74922683665003598</v>
      </c>
      <c r="D370" s="71" t="s">
        <v>1172</v>
      </c>
      <c r="E370" s="72">
        <f t="shared" si="5"/>
        <v>0.68</v>
      </c>
      <c r="F370" s="73">
        <v>0.41555270245460818</v>
      </c>
      <c r="G370" s="73"/>
      <c r="H370" s="74">
        <v>11</v>
      </c>
      <c r="J370" s="82"/>
    </row>
    <row r="371" spans="2:10" ht="20.100000000000001" customHeight="1" x14ac:dyDescent="0.3">
      <c r="B371" s="69" t="s">
        <v>1341</v>
      </c>
      <c r="C371" s="70">
        <v>0.77656006312829262</v>
      </c>
      <c r="D371" s="77" t="s">
        <v>923</v>
      </c>
      <c r="E371" s="72">
        <f t="shared" si="5"/>
        <v>0.748</v>
      </c>
      <c r="F371" s="73">
        <v>0.49566094057434218</v>
      </c>
      <c r="G371" s="73"/>
      <c r="H371" s="74">
        <v>4</v>
      </c>
      <c r="J371" s="82"/>
    </row>
    <row r="372" spans="2:10" ht="20.100000000000001" customHeight="1" x14ac:dyDescent="0.3">
      <c r="B372" s="69" t="s">
        <v>1342</v>
      </c>
      <c r="C372" s="70">
        <v>0.76805097500039676</v>
      </c>
      <c r="D372" s="71" t="s">
        <v>958</v>
      </c>
      <c r="E372" s="72">
        <f t="shared" si="5"/>
        <v>0.79600000000000004</v>
      </c>
      <c r="F372" s="73">
        <v>0.44044893982578737</v>
      </c>
      <c r="G372" s="73"/>
      <c r="H372" s="74"/>
      <c r="J372" s="82"/>
    </row>
    <row r="373" spans="2:10" ht="20.100000000000001" customHeight="1" x14ac:dyDescent="0.3">
      <c r="B373" s="69" t="s">
        <v>1343</v>
      </c>
      <c r="C373" s="70">
        <v>0.72330323958395248</v>
      </c>
      <c r="D373" s="71" t="s">
        <v>946</v>
      </c>
      <c r="E373" s="72">
        <f t="shared" si="5"/>
        <v>0.67200000000000004</v>
      </c>
      <c r="F373" s="73">
        <v>0.63936118716657842</v>
      </c>
      <c r="G373" s="73" t="s">
        <v>1487</v>
      </c>
      <c r="H373" s="74">
        <v>9</v>
      </c>
      <c r="J373" s="82"/>
    </row>
    <row r="374" spans="2:10" ht="20.100000000000001" customHeight="1" x14ac:dyDescent="0.3">
      <c r="B374" s="69" t="s">
        <v>1344</v>
      </c>
      <c r="C374" s="70">
        <v>0.66695276045925622</v>
      </c>
      <c r="D374" s="71" t="s">
        <v>946</v>
      </c>
      <c r="E374" s="72">
        <f t="shared" si="5"/>
        <v>0.67200000000000004</v>
      </c>
      <c r="F374" s="73">
        <v>0.62595588449501716</v>
      </c>
      <c r="G374" s="73" t="s">
        <v>1487</v>
      </c>
      <c r="H374" s="74"/>
      <c r="J374" s="82"/>
    </row>
    <row r="375" spans="2:10" ht="20.100000000000001" customHeight="1" x14ac:dyDescent="0.3">
      <c r="B375" s="69" t="s">
        <v>1345</v>
      </c>
      <c r="C375" s="70">
        <v>0.72260741131570949</v>
      </c>
      <c r="D375" s="77" t="s">
        <v>926</v>
      </c>
      <c r="E375" s="72">
        <f t="shared" si="5"/>
        <v>0.66400000000000003</v>
      </c>
      <c r="F375" s="73">
        <v>0.62938473237343739</v>
      </c>
      <c r="G375" s="73" t="s">
        <v>1487</v>
      </c>
      <c r="H375" s="74"/>
      <c r="J375" s="82"/>
    </row>
    <row r="376" spans="2:10" ht="20.100000000000001" customHeight="1" x14ac:dyDescent="0.3">
      <c r="B376" s="69" t="s">
        <v>1346</v>
      </c>
      <c r="C376" s="70">
        <v>0.76070685397818805</v>
      </c>
      <c r="D376" s="71" t="s">
        <v>1026</v>
      </c>
      <c r="E376" s="72">
        <f t="shared" si="5"/>
        <v>0.68200000000000005</v>
      </c>
      <c r="F376" s="73">
        <v>0.62562267588330289</v>
      </c>
      <c r="G376" s="73" t="s">
        <v>1487</v>
      </c>
      <c r="H376" s="74">
        <v>1</v>
      </c>
      <c r="J376" s="82"/>
    </row>
    <row r="377" spans="2:10" ht="20.100000000000001" customHeight="1" x14ac:dyDescent="0.3">
      <c r="B377" s="69" t="s">
        <v>1347</v>
      </c>
      <c r="C377" s="70">
        <v>0.75479774076531836</v>
      </c>
      <c r="D377" s="71" t="s">
        <v>1019</v>
      </c>
      <c r="E377" s="72">
        <f t="shared" si="5"/>
        <v>0.72499999999999998</v>
      </c>
      <c r="F377" s="73">
        <v>0.55173888058556753</v>
      </c>
      <c r="G377" s="73" t="s">
        <v>1488</v>
      </c>
      <c r="H377" s="74">
        <v>9</v>
      </c>
      <c r="J377" s="82"/>
    </row>
    <row r="378" spans="2:10" ht="20.100000000000001" customHeight="1" x14ac:dyDescent="0.3">
      <c r="B378" s="69" t="s">
        <v>1348</v>
      </c>
      <c r="C378" s="70">
        <v>0.75067194863679432</v>
      </c>
      <c r="D378" s="71" t="s">
        <v>943</v>
      </c>
      <c r="E378" s="72">
        <f t="shared" si="5"/>
        <v>0.76400000000000001</v>
      </c>
      <c r="F378" s="73">
        <v>0.39647159982868951</v>
      </c>
      <c r="G378" s="73"/>
      <c r="H378" s="74"/>
      <c r="J378" s="82"/>
    </row>
    <row r="379" spans="2:10" ht="20.100000000000001" customHeight="1" x14ac:dyDescent="0.3">
      <c r="B379" s="69" t="s">
        <v>1349</v>
      </c>
      <c r="C379" s="70">
        <v>0.72619118945306627</v>
      </c>
      <c r="D379" s="71" t="s">
        <v>1019</v>
      </c>
      <c r="E379" s="72">
        <f t="shared" si="5"/>
        <v>0.72499999999999998</v>
      </c>
      <c r="F379" s="73">
        <v>0.61320421888887422</v>
      </c>
      <c r="G379" s="73" t="s">
        <v>1488</v>
      </c>
      <c r="H379" s="74"/>
      <c r="J379" s="82"/>
    </row>
    <row r="380" spans="2:10" ht="20.100000000000001" customHeight="1" x14ac:dyDescent="0.3">
      <c r="B380" s="69" t="s">
        <v>1350</v>
      </c>
      <c r="C380" s="70">
        <v>0.80864574405729983</v>
      </c>
      <c r="D380" s="71" t="s">
        <v>931</v>
      </c>
      <c r="E380" s="72">
        <f t="shared" si="5"/>
        <v>0.76900000000000002</v>
      </c>
      <c r="F380" s="73">
        <v>0.37672395472115272</v>
      </c>
      <c r="G380" s="73"/>
      <c r="H380" s="74">
        <v>3</v>
      </c>
      <c r="J380" s="82"/>
    </row>
    <row r="381" spans="2:10" ht="20.100000000000001" customHeight="1" x14ac:dyDescent="0.3">
      <c r="B381" s="69" t="s">
        <v>1351</v>
      </c>
      <c r="C381" s="70">
        <v>0.77430829557002379</v>
      </c>
      <c r="D381" s="71" t="s">
        <v>931</v>
      </c>
      <c r="E381" s="72">
        <f t="shared" si="5"/>
        <v>0.76900000000000002</v>
      </c>
      <c r="F381" s="73">
        <v>0.37477833127881977</v>
      </c>
      <c r="G381" s="73"/>
      <c r="H381" s="74">
        <v>5</v>
      </c>
      <c r="J381" s="82"/>
    </row>
    <row r="382" spans="2:10" ht="20.100000000000001" customHeight="1" x14ac:dyDescent="0.3">
      <c r="B382" s="69" t="s">
        <v>1352</v>
      </c>
      <c r="C382" s="70">
        <v>0.77217546757941879</v>
      </c>
      <c r="D382" s="77" t="s">
        <v>996</v>
      </c>
      <c r="E382" s="72">
        <f t="shared" si="5"/>
        <v>0.68300000000000005</v>
      </c>
      <c r="F382" s="73">
        <v>0.53462800255524645</v>
      </c>
      <c r="G382" s="73" t="s">
        <v>1488</v>
      </c>
      <c r="H382" s="74"/>
      <c r="J382" s="82"/>
    </row>
    <row r="383" spans="2:10" ht="20.100000000000001" customHeight="1" x14ac:dyDescent="0.3">
      <c r="B383" s="69" t="s">
        <v>1353</v>
      </c>
      <c r="C383" s="70">
        <v>0.79116390701213191</v>
      </c>
      <c r="D383" s="77" t="s">
        <v>923</v>
      </c>
      <c r="E383" s="72">
        <f t="shared" si="5"/>
        <v>0.748</v>
      </c>
      <c r="F383" s="73">
        <v>0.52129480128722117</v>
      </c>
      <c r="G383" s="73" t="s">
        <v>1488</v>
      </c>
      <c r="H383" s="74" t="s">
        <v>1354</v>
      </c>
      <c r="J383" s="82"/>
    </row>
    <row r="384" spans="2:10" ht="20.100000000000001" customHeight="1" x14ac:dyDescent="0.3">
      <c r="B384" s="69" t="s">
        <v>1355</v>
      </c>
      <c r="C384" s="70">
        <v>0.78677911482482199</v>
      </c>
      <c r="D384" s="71" t="s">
        <v>914</v>
      </c>
      <c r="E384" s="72">
        <f t="shared" si="5"/>
        <v>0.73699999999999999</v>
      </c>
      <c r="F384" s="73">
        <v>0.46450698384540046</v>
      </c>
      <c r="G384" s="73"/>
      <c r="H384" s="74"/>
      <c r="J384" s="82"/>
    </row>
    <row r="385" spans="2:10" ht="20.100000000000001" customHeight="1" x14ac:dyDescent="0.3">
      <c r="B385" s="69" t="s">
        <v>1356</v>
      </c>
      <c r="C385" s="70">
        <v>0.72479345838172615</v>
      </c>
      <c r="D385" s="77" t="s">
        <v>926</v>
      </c>
      <c r="E385" s="72">
        <f t="shared" si="5"/>
        <v>0.66400000000000003</v>
      </c>
      <c r="F385" s="73">
        <v>0.68253012509716571</v>
      </c>
      <c r="G385" s="73" t="s">
        <v>1487</v>
      </c>
      <c r="H385" s="74"/>
      <c r="J385" s="82"/>
    </row>
    <row r="386" spans="2:10" ht="20.100000000000001" customHeight="1" x14ac:dyDescent="0.3">
      <c r="B386" s="69" t="s">
        <v>1357</v>
      </c>
      <c r="C386" s="70">
        <v>0.78697554313246632</v>
      </c>
      <c r="D386" s="71" t="s">
        <v>931</v>
      </c>
      <c r="E386" s="72">
        <f t="shared" si="5"/>
        <v>0.76900000000000002</v>
      </c>
      <c r="F386" s="73">
        <v>0.45961479816699946</v>
      </c>
      <c r="G386" s="73"/>
      <c r="H386" s="74">
        <v>1</v>
      </c>
      <c r="J386" s="82"/>
    </row>
    <row r="387" spans="2:10" ht="20.100000000000001" customHeight="1" x14ac:dyDescent="0.3">
      <c r="B387" s="69" t="s">
        <v>1358</v>
      </c>
      <c r="C387" s="70">
        <v>0.71590641161763535</v>
      </c>
      <c r="D387" s="71" t="s">
        <v>1026</v>
      </c>
      <c r="E387" s="72">
        <f t="shared" si="5"/>
        <v>0.68200000000000005</v>
      </c>
      <c r="F387" s="73">
        <v>0.67060985280389596</v>
      </c>
      <c r="G387" s="73" t="s">
        <v>1487</v>
      </c>
      <c r="H387" s="74">
        <v>4</v>
      </c>
      <c r="J387" s="82"/>
    </row>
    <row r="388" spans="2:10" ht="20.100000000000001" customHeight="1" x14ac:dyDescent="0.3">
      <c r="B388" s="69" t="s">
        <v>1359</v>
      </c>
      <c r="C388" s="70">
        <v>0.68602426727748889</v>
      </c>
      <c r="D388" s="77" t="s">
        <v>1036</v>
      </c>
      <c r="E388" s="72">
        <f t="shared" ref="E388:E451" si="6">VLOOKUP(D388,$J$5:$K$32,2,0)</f>
        <v>0.71699999999999997</v>
      </c>
      <c r="F388" s="73">
        <v>0.48334811779069609</v>
      </c>
      <c r="G388" s="73"/>
      <c r="H388" s="74"/>
      <c r="J388" s="82"/>
    </row>
    <row r="389" spans="2:10" ht="20.100000000000001" customHeight="1" x14ac:dyDescent="0.3">
      <c r="B389" s="69" t="s">
        <v>1360</v>
      </c>
      <c r="C389" s="70">
        <v>0.70010799709808402</v>
      </c>
      <c r="D389" s="77" t="s">
        <v>926</v>
      </c>
      <c r="E389" s="72">
        <f t="shared" si="6"/>
        <v>0.66400000000000003</v>
      </c>
      <c r="F389" s="73">
        <v>0.62384492845754513</v>
      </c>
      <c r="G389" s="73" t="s">
        <v>1487</v>
      </c>
      <c r="H389" s="74"/>
      <c r="J389" s="82"/>
    </row>
    <row r="390" spans="2:10" ht="20.100000000000001" customHeight="1" x14ac:dyDescent="0.3">
      <c r="B390" s="69" t="s">
        <v>1361</v>
      </c>
      <c r="C390" s="70">
        <v>0.7042362646306628</v>
      </c>
      <c r="D390" s="77" t="s">
        <v>961</v>
      </c>
      <c r="E390" s="72">
        <f t="shared" si="6"/>
        <v>0.64200000000000002</v>
      </c>
      <c r="F390" s="73">
        <v>0.52603928200397787</v>
      </c>
      <c r="G390" s="73" t="s">
        <v>1486</v>
      </c>
      <c r="H390" s="74"/>
      <c r="J390" s="82"/>
    </row>
    <row r="391" spans="2:10" ht="20.100000000000001" customHeight="1" x14ac:dyDescent="0.3">
      <c r="B391" s="69" t="s">
        <v>1362</v>
      </c>
      <c r="C391" s="70">
        <v>0.77356906546342175</v>
      </c>
      <c r="D391" s="71" t="s">
        <v>914</v>
      </c>
      <c r="E391" s="72">
        <f t="shared" si="6"/>
        <v>0.73699999999999999</v>
      </c>
      <c r="F391" s="73">
        <v>0.48891899394336458</v>
      </c>
      <c r="G391" s="73"/>
      <c r="H391" s="74"/>
      <c r="J391" s="82"/>
    </row>
    <row r="392" spans="2:10" ht="20.100000000000001" customHeight="1" x14ac:dyDescent="0.3">
      <c r="B392" s="69" t="s">
        <v>1363</v>
      </c>
      <c r="C392" s="70">
        <v>0.77772810160454409</v>
      </c>
      <c r="D392" s="77" t="s">
        <v>917</v>
      </c>
      <c r="E392" s="72">
        <f t="shared" si="6"/>
        <v>0.70599999999999996</v>
      </c>
      <c r="F392" s="73">
        <v>0.52456370605295088</v>
      </c>
      <c r="G392" s="73" t="s">
        <v>1486</v>
      </c>
      <c r="H392" s="74"/>
      <c r="J392" s="82"/>
    </row>
    <row r="393" spans="2:10" ht="20.100000000000001" customHeight="1" x14ac:dyDescent="0.3">
      <c r="B393" s="69" t="s">
        <v>1364</v>
      </c>
      <c r="C393" s="70">
        <v>0.81163583244931437</v>
      </c>
      <c r="D393" s="71" t="s">
        <v>958</v>
      </c>
      <c r="E393" s="72">
        <f t="shared" si="6"/>
        <v>0.79600000000000004</v>
      </c>
      <c r="F393" s="73">
        <v>0.37184387139313502</v>
      </c>
      <c r="G393" s="73"/>
      <c r="H393" s="74"/>
      <c r="J393" s="82"/>
    </row>
    <row r="394" spans="2:10" ht="20.100000000000001" customHeight="1" x14ac:dyDescent="0.3">
      <c r="B394" s="69" t="s">
        <v>1365</v>
      </c>
      <c r="C394" s="70">
        <v>0.72018658891876053</v>
      </c>
      <c r="D394" s="71" t="s">
        <v>1001</v>
      </c>
      <c r="E394" s="72">
        <f t="shared" si="6"/>
        <v>0.72399999999999998</v>
      </c>
      <c r="F394" s="73">
        <v>0.602648470280714</v>
      </c>
      <c r="G394" s="73" t="s">
        <v>1488</v>
      </c>
      <c r="H394" s="74">
        <v>4</v>
      </c>
      <c r="J394" s="82"/>
    </row>
    <row r="395" spans="2:10" ht="20.100000000000001" customHeight="1" x14ac:dyDescent="0.3">
      <c r="B395" s="69" t="s">
        <v>1366</v>
      </c>
      <c r="C395" s="70">
        <v>0.69299999999999995</v>
      </c>
      <c r="D395" s="77" t="s">
        <v>937</v>
      </c>
      <c r="E395" s="72">
        <f t="shared" si="6"/>
        <v>0.68300000000000005</v>
      </c>
      <c r="F395" s="73">
        <v>0.56930000000000003</v>
      </c>
      <c r="G395" s="73"/>
      <c r="H395" s="74">
        <v>5</v>
      </c>
      <c r="J395" s="82"/>
    </row>
    <row r="396" spans="2:10" ht="20.100000000000001" customHeight="1" x14ac:dyDescent="0.3">
      <c r="B396" s="69" t="s">
        <v>1367</v>
      </c>
      <c r="C396" s="70">
        <v>0.75702993460881229</v>
      </c>
      <c r="D396" s="71" t="s">
        <v>940</v>
      </c>
      <c r="E396" s="72">
        <f t="shared" si="6"/>
        <v>0.73399999999999999</v>
      </c>
      <c r="F396" s="73">
        <v>0.39534143925267073</v>
      </c>
      <c r="G396" s="73"/>
      <c r="H396" s="74">
        <v>3</v>
      </c>
      <c r="J396" s="82"/>
    </row>
    <row r="397" spans="2:10" ht="20.100000000000001" customHeight="1" x14ac:dyDescent="0.3">
      <c r="B397" s="69" t="s">
        <v>1368</v>
      </c>
      <c r="C397" s="70">
        <v>0.79264340075941098</v>
      </c>
      <c r="D397" s="77" t="s">
        <v>923</v>
      </c>
      <c r="E397" s="72">
        <f t="shared" si="6"/>
        <v>0.748</v>
      </c>
      <c r="F397" s="73">
        <v>0.48249959605497572</v>
      </c>
      <c r="G397" s="73"/>
      <c r="H397" s="74" t="s">
        <v>949</v>
      </c>
      <c r="J397" s="82"/>
    </row>
    <row r="398" spans="2:10" ht="20.100000000000001" customHeight="1" x14ac:dyDescent="0.3">
      <c r="B398" s="69" t="s">
        <v>1369</v>
      </c>
      <c r="C398" s="70">
        <v>0.67586164916668745</v>
      </c>
      <c r="D398" s="71" t="s">
        <v>946</v>
      </c>
      <c r="E398" s="72">
        <f t="shared" si="6"/>
        <v>0.67200000000000004</v>
      </c>
      <c r="F398" s="73">
        <v>0.66494883116166115</v>
      </c>
      <c r="G398" s="73" t="s">
        <v>1487</v>
      </c>
      <c r="H398" s="74"/>
      <c r="J398" s="82"/>
    </row>
    <row r="399" spans="2:10" ht="20.100000000000001" customHeight="1" x14ac:dyDescent="0.3">
      <c r="B399" s="69" t="s">
        <v>1370</v>
      </c>
      <c r="C399" s="70">
        <v>0.79705958796552856</v>
      </c>
      <c r="D399" s="71" t="s">
        <v>914</v>
      </c>
      <c r="E399" s="72">
        <f t="shared" si="6"/>
        <v>0.73699999999999999</v>
      </c>
      <c r="F399" s="73">
        <v>0.40330458885019904</v>
      </c>
      <c r="G399" s="73"/>
      <c r="H399" s="74"/>
      <c r="J399" s="82"/>
    </row>
    <row r="400" spans="2:10" ht="20.100000000000001" customHeight="1" x14ac:dyDescent="0.3">
      <c r="B400" s="69" t="s">
        <v>1371</v>
      </c>
      <c r="C400" s="70">
        <v>0.78879194261136265</v>
      </c>
      <c r="D400" s="71" t="s">
        <v>940</v>
      </c>
      <c r="E400" s="72">
        <f t="shared" si="6"/>
        <v>0.73399999999999999</v>
      </c>
      <c r="F400" s="73">
        <v>0.42150544342918617</v>
      </c>
      <c r="G400" s="73"/>
      <c r="H400" s="74"/>
      <c r="J400" s="82"/>
    </row>
    <row r="401" spans="2:10" ht="20.100000000000001" customHeight="1" x14ac:dyDescent="0.3">
      <c r="B401" s="69" t="s">
        <v>1372</v>
      </c>
      <c r="C401" s="70">
        <v>0.66777789690966205</v>
      </c>
      <c r="D401" s="77" t="s">
        <v>952</v>
      </c>
      <c r="E401" s="72">
        <f t="shared" si="6"/>
        <v>0.72599999999999998</v>
      </c>
      <c r="F401" s="73">
        <v>0.52597204803472264</v>
      </c>
      <c r="G401" s="73"/>
      <c r="H401" s="74"/>
      <c r="J401" s="82"/>
    </row>
    <row r="402" spans="2:10" ht="20.100000000000001" customHeight="1" x14ac:dyDescent="0.3">
      <c r="B402" s="69" t="s">
        <v>1373</v>
      </c>
      <c r="C402" s="70">
        <v>0.7358252322998351</v>
      </c>
      <c r="D402" s="71" t="s">
        <v>964</v>
      </c>
      <c r="E402" s="72">
        <f t="shared" si="6"/>
        <v>0.73499999999999999</v>
      </c>
      <c r="F402" s="73">
        <v>0.37475836208799518</v>
      </c>
      <c r="G402" s="73"/>
      <c r="H402" s="74">
        <v>9</v>
      </c>
      <c r="J402" s="82"/>
    </row>
    <row r="403" spans="2:10" ht="20.100000000000001" customHeight="1" x14ac:dyDescent="0.3">
      <c r="B403" s="69" t="s">
        <v>1374</v>
      </c>
      <c r="C403" s="70">
        <v>0.70805619734233605</v>
      </c>
      <c r="D403" s="71" t="s">
        <v>946</v>
      </c>
      <c r="E403" s="72">
        <f t="shared" si="6"/>
        <v>0.67200000000000004</v>
      </c>
      <c r="F403" s="73">
        <v>0.57200310639187602</v>
      </c>
      <c r="G403" s="73" t="s">
        <v>1486</v>
      </c>
      <c r="H403" s="74">
        <v>5</v>
      </c>
      <c r="J403" s="82"/>
    </row>
    <row r="404" spans="2:10" ht="20.100000000000001" customHeight="1" x14ac:dyDescent="0.3">
      <c r="B404" s="69" t="s">
        <v>1375</v>
      </c>
      <c r="C404" s="70">
        <v>0.74705230424190039</v>
      </c>
      <c r="D404" s="71" t="s">
        <v>1019</v>
      </c>
      <c r="E404" s="72">
        <f t="shared" si="6"/>
        <v>0.72499999999999998</v>
      </c>
      <c r="F404" s="73">
        <v>0.57175827930123369</v>
      </c>
      <c r="G404" s="73" t="s">
        <v>1488</v>
      </c>
      <c r="H404" s="74">
        <v>5</v>
      </c>
      <c r="J404" s="82"/>
    </row>
    <row r="405" spans="2:10" ht="20.100000000000001" customHeight="1" x14ac:dyDescent="0.3">
      <c r="B405" s="69" t="s">
        <v>1376</v>
      </c>
      <c r="C405" s="70">
        <v>0.81228275858514776</v>
      </c>
      <c r="D405" s="71" t="s">
        <v>958</v>
      </c>
      <c r="E405" s="72">
        <f t="shared" si="6"/>
        <v>0.79600000000000004</v>
      </c>
      <c r="F405" s="73">
        <v>0.29037953110823861</v>
      </c>
      <c r="G405" s="73"/>
      <c r="H405" s="74"/>
      <c r="J405" s="82"/>
    </row>
    <row r="406" spans="2:10" ht="20.100000000000001" customHeight="1" x14ac:dyDescent="0.3">
      <c r="B406" s="69" t="s">
        <v>1377</v>
      </c>
      <c r="C406" s="70">
        <v>0.80364230817152915</v>
      </c>
      <c r="D406" s="77" t="s">
        <v>996</v>
      </c>
      <c r="E406" s="72">
        <f t="shared" si="6"/>
        <v>0.68300000000000005</v>
      </c>
      <c r="F406" s="73">
        <v>0.52699974133983185</v>
      </c>
      <c r="G406" s="73"/>
      <c r="H406" s="74" t="s">
        <v>992</v>
      </c>
      <c r="J406" s="82"/>
    </row>
    <row r="407" spans="2:10" ht="20.100000000000001" customHeight="1" x14ac:dyDescent="0.3">
      <c r="B407" s="69" t="s">
        <v>1378</v>
      </c>
      <c r="C407" s="70">
        <v>0.74124486270399026</v>
      </c>
      <c r="D407" s="77" t="s">
        <v>917</v>
      </c>
      <c r="E407" s="72">
        <f t="shared" si="6"/>
        <v>0.70599999999999996</v>
      </c>
      <c r="F407" s="73">
        <v>0.44783867582235559</v>
      </c>
      <c r="G407" s="73" t="s">
        <v>1486</v>
      </c>
      <c r="H407" s="74"/>
      <c r="J407" s="82"/>
    </row>
    <row r="408" spans="2:10" ht="20.100000000000001" customHeight="1" x14ac:dyDescent="0.3">
      <c r="B408" s="69" t="s">
        <v>1379</v>
      </c>
      <c r="C408" s="70">
        <v>0.74248320047379546</v>
      </c>
      <c r="D408" s="71" t="s">
        <v>1019</v>
      </c>
      <c r="E408" s="72">
        <f t="shared" si="6"/>
        <v>0.72499999999999998</v>
      </c>
      <c r="F408" s="73">
        <v>0.45530842486452194</v>
      </c>
      <c r="G408" s="73"/>
      <c r="H408" s="74"/>
      <c r="J408" s="82"/>
    </row>
    <row r="409" spans="2:10" ht="20.100000000000001" customHeight="1" x14ac:dyDescent="0.3">
      <c r="B409" s="69" t="s">
        <v>1380</v>
      </c>
      <c r="C409" s="70">
        <v>0.68763546973670864</v>
      </c>
      <c r="D409" s="71" t="s">
        <v>1019</v>
      </c>
      <c r="E409" s="72">
        <f t="shared" si="6"/>
        <v>0.72499999999999998</v>
      </c>
      <c r="F409" s="73">
        <v>0.67117763235816963</v>
      </c>
      <c r="G409" s="73" t="s">
        <v>1488</v>
      </c>
      <c r="H409" s="74"/>
      <c r="J409" s="82"/>
    </row>
    <row r="410" spans="2:10" ht="20.100000000000001" customHeight="1" x14ac:dyDescent="0.3">
      <c r="B410" s="69" t="s">
        <v>1381</v>
      </c>
      <c r="C410" s="70">
        <v>0.75489160237381236</v>
      </c>
      <c r="D410" s="71" t="s">
        <v>1019</v>
      </c>
      <c r="E410" s="72">
        <f t="shared" si="6"/>
        <v>0.72499999999999998</v>
      </c>
      <c r="F410" s="73">
        <v>0.62098830891069989</v>
      </c>
      <c r="G410" s="73" t="s">
        <v>1488</v>
      </c>
      <c r="H410" s="74"/>
      <c r="J410" s="82"/>
    </row>
    <row r="411" spans="2:10" ht="20.100000000000001" customHeight="1" x14ac:dyDescent="0.3">
      <c r="B411" s="69" t="s">
        <v>1382</v>
      </c>
      <c r="C411" s="70">
        <v>0.75250307051808785</v>
      </c>
      <c r="D411" s="71" t="s">
        <v>940</v>
      </c>
      <c r="E411" s="72">
        <f t="shared" si="6"/>
        <v>0.73399999999999999</v>
      </c>
      <c r="F411" s="73">
        <v>0.47322373828965814</v>
      </c>
      <c r="G411" s="73"/>
      <c r="H411" s="74">
        <v>2</v>
      </c>
      <c r="J411" s="82"/>
    </row>
    <row r="412" spans="2:10" ht="20.100000000000001" customHeight="1" x14ac:dyDescent="0.3">
      <c r="B412" s="69" t="s">
        <v>1383</v>
      </c>
      <c r="C412" s="70">
        <v>0.73990605039507007</v>
      </c>
      <c r="D412" s="71" t="s">
        <v>1001</v>
      </c>
      <c r="E412" s="72">
        <f t="shared" si="6"/>
        <v>0.72399999999999998</v>
      </c>
      <c r="F412" s="73">
        <v>0.51774554499679015</v>
      </c>
      <c r="G412" s="73" t="s">
        <v>1488</v>
      </c>
      <c r="H412" s="74"/>
      <c r="J412" s="82"/>
    </row>
    <row r="413" spans="2:10" ht="20.100000000000001" customHeight="1" x14ac:dyDescent="0.3">
      <c r="B413" s="69" t="s">
        <v>1384</v>
      </c>
      <c r="C413" s="70">
        <v>0.8052114623061607</v>
      </c>
      <c r="D413" s="71" t="s">
        <v>1019</v>
      </c>
      <c r="E413" s="72">
        <f t="shared" si="6"/>
        <v>0.72499999999999998</v>
      </c>
      <c r="F413" s="73">
        <v>0.55713598004218912</v>
      </c>
      <c r="G413" s="73" t="s">
        <v>1488</v>
      </c>
      <c r="H413" s="74"/>
      <c r="J413" s="82"/>
    </row>
    <row r="414" spans="2:10" ht="20.100000000000001" customHeight="1" x14ac:dyDescent="0.3">
      <c r="B414" s="69" t="s">
        <v>1385</v>
      </c>
      <c r="C414" s="70">
        <v>0.72150406379716481</v>
      </c>
      <c r="D414" s="77" t="s">
        <v>917</v>
      </c>
      <c r="E414" s="72">
        <f t="shared" si="6"/>
        <v>0.70599999999999996</v>
      </c>
      <c r="F414" s="73">
        <v>0.61454410735373211</v>
      </c>
      <c r="G414" s="73" t="s">
        <v>1486</v>
      </c>
      <c r="H414" s="74"/>
      <c r="J414" s="82"/>
    </row>
    <row r="415" spans="2:10" ht="20.100000000000001" customHeight="1" x14ac:dyDescent="0.3">
      <c r="B415" s="69" t="s">
        <v>1386</v>
      </c>
      <c r="C415" s="70">
        <v>0.7323157753070193</v>
      </c>
      <c r="D415" s="71" t="s">
        <v>940</v>
      </c>
      <c r="E415" s="72">
        <f t="shared" si="6"/>
        <v>0.73399999999999999</v>
      </c>
      <c r="F415" s="73">
        <v>0.4394317032811903</v>
      </c>
      <c r="G415" s="73"/>
      <c r="H415" s="74"/>
      <c r="J415" s="82"/>
    </row>
    <row r="416" spans="2:10" ht="20.100000000000001" customHeight="1" x14ac:dyDescent="0.3">
      <c r="B416" s="69" t="s">
        <v>1387</v>
      </c>
      <c r="C416" s="70">
        <v>0.73128153339217339</v>
      </c>
      <c r="D416" s="77" t="s">
        <v>1028</v>
      </c>
      <c r="E416" s="72">
        <f t="shared" si="6"/>
        <v>0.66500000000000004</v>
      </c>
      <c r="F416" s="73">
        <v>0.53453200765139464</v>
      </c>
      <c r="G416" s="73" t="s">
        <v>1487</v>
      </c>
      <c r="H416" s="74"/>
      <c r="J416" s="82"/>
    </row>
    <row r="417" spans="2:10" ht="20.100000000000001" customHeight="1" x14ac:dyDescent="0.3">
      <c r="B417" s="69" t="s">
        <v>1388</v>
      </c>
      <c r="C417" s="70">
        <v>0.76845165785187508</v>
      </c>
      <c r="D417" s="71" t="s">
        <v>967</v>
      </c>
      <c r="E417" s="72">
        <f t="shared" si="6"/>
        <v>0.76200000000000001</v>
      </c>
      <c r="F417" s="73">
        <v>0.50958468223324882</v>
      </c>
      <c r="G417" s="73" t="s">
        <v>1488</v>
      </c>
      <c r="H417" s="74"/>
      <c r="J417" s="82"/>
    </row>
    <row r="418" spans="2:10" ht="20.100000000000001" customHeight="1" x14ac:dyDescent="0.3">
      <c r="B418" s="69" t="s">
        <v>1389</v>
      </c>
      <c r="C418" s="70">
        <v>0.79032752404523643</v>
      </c>
      <c r="D418" s="71" t="s">
        <v>958</v>
      </c>
      <c r="E418" s="72">
        <f t="shared" si="6"/>
        <v>0.79600000000000004</v>
      </c>
      <c r="F418" s="73">
        <v>0.39690052169831269</v>
      </c>
      <c r="G418" s="73"/>
      <c r="H418" s="74" t="s">
        <v>1010</v>
      </c>
      <c r="J418" s="82"/>
    </row>
    <row r="419" spans="2:10" ht="20.100000000000001" customHeight="1" x14ac:dyDescent="0.3">
      <c r="B419" s="69" t="s">
        <v>1390</v>
      </c>
      <c r="C419" s="70">
        <v>0.6617628303032832</v>
      </c>
      <c r="D419" s="77" t="s">
        <v>996</v>
      </c>
      <c r="E419" s="72">
        <f t="shared" si="6"/>
        <v>0.68300000000000005</v>
      </c>
      <c r="F419" s="73">
        <v>0.71190932476376623</v>
      </c>
      <c r="G419" s="73" t="s">
        <v>1488</v>
      </c>
      <c r="H419" s="74"/>
      <c r="J419" s="82"/>
    </row>
    <row r="420" spans="2:10" ht="20.100000000000001" customHeight="1" x14ac:dyDescent="0.3">
      <c r="B420" s="69" t="s">
        <v>1391</v>
      </c>
      <c r="C420" s="70">
        <v>0.78267459221167635</v>
      </c>
      <c r="D420" s="71" t="s">
        <v>940</v>
      </c>
      <c r="E420" s="72">
        <f t="shared" si="6"/>
        <v>0.73399999999999999</v>
      </c>
      <c r="F420" s="73">
        <v>0.35771074223313859</v>
      </c>
      <c r="G420" s="73"/>
      <c r="H420" s="74"/>
      <c r="J420" s="82"/>
    </row>
    <row r="421" spans="2:10" ht="20.100000000000001" customHeight="1" x14ac:dyDescent="0.3">
      <c r="B421" s="69" t="s">
        <v>1392</v>
      </c>
      <c r="C421" s="70">
        <v>0.72036859140115683</v>
      </c>
      <c r="D421" s="71" t="s">
        <v>1026</v>
      </c>
      <c r="E421" s="72">
        <f t="shared" si="6"/>
        <v>0.68200000000000005</v>
      </c>
      <c r="F421" s="73">
        <v>0.62022645931517983</v>
      </c>
      <c r="G421" s="73" t="s">
        <v>1487</v>
      </c>
      <c r="H421" s="74"/>
      <c r="J421" s="82"/>
    </row>
    <row r="422" spans="2:10" ht="20.100000000000001" customHeight="1" x14ac:dyDescent="0.3">
      <c r="B422" s="69" t="s">
        <v>1393</v>
      </c>
      <c r="C422" s="70">
        <v>0.74089247264517422</v>
      </c>
      <c r="D422" s="71" t="s">
        <v>964</v>
      </c>
      <c r="E422" s="72">
        <f t="shared" si="6"/>
        <v>0.73499999999999999</v>
      </c>
      <c r="F422" s="73">
        <v>0.33767826304051829</v>
      </c>
      <c r="G422" s="73"/>
      <c r="H422" s="74"/>
      <c r="J422" s="82"/>
    </row>
    <row r="423" spans="2:10" ht="20.100000000000001" customHeight="1" x14ac:dyDescent="0.3">
      <c r="B423" s="69" t="s">
        <v>1394</v>
      </c>
      <c r="C423" s="70">
        <v>0.67778390992725446</v>
      </c>
      <c r="D423" s="71" t="s">
        <v>964</v>
      </c>
      <c r="E423" s="72">
        <f t="shared" si="6"/>
        <v>0.73499999999999999</v>
      </c>
      <c r="F423" s="73">
        <v>0.47813601962277941</v>
      </c>
      <c r="G423" s="73"/>
      <c r="H423" s="74"/>
      <c r="J423" s="82"/>
    </row>
    <row r="424" spans="2:10" ht="20.100000000000001" customHeight="1" x14ac:dyDescent="0.3">
      <c r="B424" s="69" t="s">
        <v>1395</v>
      </c>
      <c r="C424" s="70">
        <v>0.80159805565025544</v>
      </c>
      <c r="D424" s="71" t="s">
        <v>1001</v>
      </c>
      <c r="E424" s="72">
        <f t="shared" si="6"/>
        <v>0.72399999999999998</v>
      </c>
      <c r="F424" s="73">
        <v>0.44034098429006996</v>
      </c>
      <c r="G424" s="73"/>
      <c r="H424" s="74"/>
      <c r="J424" s="82"/>
    </row>
    <row r="425" spans="2:10" ht="20.100000000000001" customHeight="1" x14ac:dyDescent="0.3">
      <c r="B425" s="69" t="s">
        <v>1396</v>
      </c>
      <c r="C425" s="70">
        <v>0.73822967787330118</v>
      </c>
      <c r="D425" s="71" t="s">
        <v>934</v>
      </c>
      <c r="E425" s="72">
        <f t="shared" si="6"/>
        <v>0.68799999999999994</v>
      </c>
      <c r="F425" s="73">
        <v>0.58168575535367217</v>
      </c>
      <c r="G425" s="73" t="s">
        <v>1488</v>
      </c>
      <c r="H425" s="74"/>
      <c r="J425" s="82"/>
    </row>
    <row r="426" spans="2:10" ht="20.100000000000001" customHeight="1" x14ac:dyDescent="0.3">
      <c r="B426" s="69" t="s">
        <v>1397</v>
      </c>
      <c r="C426" s="70">
        <v>0.75438366438893123</v>
      </c>
      <c r="D426" s="77" t="s">
        <v>996</v>
      </c>
      <c r="E426" s="72">
        <f t="shared" si="6"/>
        <v>0.68300000000000005</v>
      </c>
      <c r="F426" s="73">
        <v>0.5889634342390373</v>
      </c>
      <c r="G426" s="73" t="s">
        <v>1488</v>
      </c>
      <c r="H426" s="74">
        <v>3</v>
      </c>
      <c r="J426" s="82"/>
    </row>
    <row r="427" spans="2:10" ht="20.100000000000001" customHeight="1" x14ac:dyDescent="0.3">
      <c r="B427" s="69" t="s">
        <v>1398</v>
      </c>
      <c r="C427" s="70">
        <v>0.67197807101864859</v>
      </c>
      <c r="D427" s="71" t="s">
        <v>977</v>
      </c>
      <c r="E427" s="72">
        <f t="shared" si="6"/>
        <v>0.73699999999999999</v>
      </c>
      <c r="F427" s="73">
        <v>0.61462625741052046</v>
      </c>
      <c r="G427" s="73" t="s">
        <v>1486</v>
      </c>
      <c r="H427" s="74"/>
      <c r="J427" s="82"/>
    </row>
    <row r="428" spans="2:10" ht="20.100000000000001" customHeight="1" x14ac:dyDescent="0.3">
      <c r="B428" s="69" t="s">
        <v>1399</v>
      </c>
      <c r="C428" s="70">
        <v>0.80391404175457681</v>
      </c>
      <c r="D428" s="77" t="s">
        <v>1009</v>
      </c>
      <c r="E428" s="72">
        <f t="shared" si="6"/>
        <v>0.80900000000000005</v>
      </c>
      <c r="F428" s="73">
        <v>0.36156490106407024</v>
      </c>
      <c r="G428" s="73"/>
      <c r="H428" s="74"/>
      <c r="J428" s="82"/>
    </row>
    <row r="429" spans="2:10" ht="20.100000000000001" customHeight="1" x14ac:dyDescent="0.3">
      <c r="B429" s="69" t="s">
        <v>1400</v>
      </c>
      <c r="C429" s="70">
        <v>0.71097002130233788</v>
      </c>
      <c r="D429" s="77" t="s">
        <v>923</v>
      </c>
      <c r="E429" s="72">
        <f t="shared" si="6"/>
        <v>0.748</v>
      </c>
      <c r="F429" s="73">
        <v>0.58451460507107733</v>
      </c>
      <c r="G429" s="73" t="s">
        <v>1488</v>
      </c>
      <c r="H429" s="74"/>
      <c r="J429" s="82"/>
    </row>
    <row r="430" spans="2:10" ht="20.100000000000001" customHeight="1" x14ac:dyDescent="0.3">
      <c r="B430" s="69" t="s">
        <v>1401</v>
      </c>
      <c r="C430" s="70">
        <v>0.66259060943623882</v>
      </c>
      <c r="D430" s="77" t="s">
        <v>961</v>
      </c>
      <c r="E430" s="72">
        <f t="shared" si="6"/>
        <v>0.64200000000000002</v>
      </c>
      <c r="F430" s="73">
        <v>0.63919478989623946</v>
      </c>
      <c r="G430" s="73" t="s">
        <v>1486</v>
      </c>
      <c r="H430" s="74">
        <v>3</v>
      </c>
      <c r="J430" s="82"/>
    </row>
    <row r="431" spans="2:10" ht="20.100000000000001" customHeight="1" x14ac:dyDescent="0.3">
      <c r="B431" s="69" t="s">
        <v>1402</v>
      </c>
      <c r="C431" s="70">
        <v>0.79910936778781394</v>
      </c>
      <c r="D431" s="71" t="s">
        <v>958</v>
      </c>
      <c r="E431" s="72">
        <f t="shared" si="6"/>
        <v>0.79600000000000004</v>
      </c>
      <c r="F431" s="73">
        <v>0.3159050892641847</v>
      </c>
      <c r="G431" s="73"/>
      <c r="H431" s="74">
        <v>5</v>
      </c>
      <c r="J431" s="82"/>
    </row>
    <row r="432" spans="2:10" ht="20.100000000000001" customHeight="1" x14ac:dyDescent="0.3">
      <c r="B432" s="69" t="s">
        <v>1403</v>
      </c>
      <c r="C432" s="70">
        <v>0.69735440493303325</v>
      </c>
      <c r="D432" s="71" t="s">
        <v>955</v>
      </c>
      <c r="E432" s="72">
        <f t="shared" si="6"/>
        <v>0.73799999999999999</v>
      </c>
      <c r="F432" s="73">
        <v>0.55829086437791586</v>
      </c>
      <c r="G432" s="73"/>
      <c r="H432" s="74">
        <v>1</v>
      </c>
      <c r="J432" s="82"/>
    </row>
    <row r="433" spans="2:10" ht="20.100000000000001" customHeight="1" x14ac:dyDescent="0.3">
      <c r="B433" s="69" t="s">
        <v>1404</v>
      </c>
      <c r="C433" s="70">
        <v>0.82559684035052616</v>
      </c>
      <c r="D433" s="71" t="s">
        <v>967</v>
      </c>
      <c r="E433" s="72">
        <f t="shared" si="6"/>
        <v>0.76200000000000001</v>
      </c>
      <c r="F433" s="73">
        <v>0.36218305206015333</v>
      </c>
      <c r="G433" s="73"/>
      <c r="H433" s="74" t="s">
        <v>992</v>
      </c>
      <c r="J433" s="82"/>
    </row>
    <row r="434" spans="2:10" ht="20.100000000000001" customHeight="1" x14ac:dyDescent="0.3">
      <c r="B434" s="69" t="s">
        <v>1405</v>
      </c>
      <c r="C434" s="70">
        <v>0.75270184351014402</v>
      </c>
      <c r="D434" s="77" t="s">
        <v>961</v>
      </c>
      <c r="E434" s="72">
        <f t="shared" si="6"/>
        <v>0.64200000000000002</v>
      </c>
      <c r="F434" s="73">
        <v>0.44953935996873295</v>
      </c>
      <c r="G434" s="73" t="s">
        <v>1486</v>
      </c>
      <c r="H434" s="74"/>
      <c r="J434" s="82"/>
    </row>
    <row r="435" spans="2:10" ht="20.100000000000001" customHeight="1" x14ac:dyDescent="0.3">
      <c r="B435" s="69" t="s">
        <v>1406</v>
      </c>
      <c r="C435" s="70">
        <v>0.74777443358935392</v>
      </c>
      <c r="D435" s="71" t="s">
        <v>1019</v>
      </c>
      <c r="E435" s="72">
        <f t="shared" si="6"/>
        <v>0.72499999999999998</v>
      </c>
      <c r="F435" s="73">
        <v>0.57949818562973177</v>
      </c>
      <c r="G435" s="73" t="s">
        <v>1488</v>
      </c>
      <c r="H435" s="74"/>
      <c r="J435" s="82"/>
    </row>
    <row r="436" spans="2:10" ht="20.100000000000001" customHeight="1" x14ac:dyDescent="0.3">
      <c r="B436" s="69" t="s">
        <v>1407</v>
      </c>
      <c r="C436" s="70">
        <v>0.79078793742499476</v>
      </c>
      <c r="D436" s="71" t="s">
        <v>967</v>
      </c>
      <c r="E436" s="72">
        <f t="shared" si="6"/>
        <v>0.76200000000000001</v>
      </c>
      <c r="F436" s="73">
        <v>0.4984894013601755</v>
      </c>
      <c r="G436" s="73"/>
      <c r="H436" s="74"/>
      <c r="J436" s="82"/>
    </row>
    <row r="437" spans="2:10" ht="20.100000000000001" customHeight="1" x14ac:dyDescent="0.3">
      <c r="B437" s="69" t="s">
        <v>1408</v>
      </c>
      <c r="C437" s="70">
        <v>0.77133233831719561</v>
      </c>
      <c r="D437" s="77" t="s">
        <v>917</v>
      </c>
      <c r="E437" s="72">
        <f t="shared" si="6"/>
        <v>0.70599999999999996</v>
      </c>
      <c r="F437" s="73">
        <v>0.58804818357111655</v>
      </c>
      <c r="G437" s="73" t="s">
        <v>1486</v>
      </c>
      <c r="H437" s="74">
        <v>5</v>
      </c>
      <c r="J437" s="82"/>
    </row>
    <row r="438" spans="2:10" ht="20.100000000000001" customHeight="1" x14ac:dyDescent="0.3">
      <c r="B438" s="69" t="s">
        <v>1409</v>
      </c>
      <c r="C438" s="70">
        <v>0.70608445898252126</v>
      </c>
      <c r="D438" s="71" t="s">
        <v>977</v>
      </c>
      <c r="E438" s="72">
        <f t="shared" si="6"/>
        <v>0.73699999999999999</v>
      </c>
      <c r="F438" s="73">
        <v>0.56364179598920916</v>
      </c>
      <c r="G438" s="73" t="s">
        <v>1486</v>
      </c>
      <c r="H438" s="74"/>
      <c r="J438" s="82"/>
    </row>
    <row r="439" spans="2:10" ht="20.100000000000001" customHeight="1" x14ac:dyDescent="0.3">
      <c r="B439" s="69" t="s">
        <v>1410</v>
      </c>
      <c r="C439" s="70">
        <v>0.72404211479572167</v>
      </c>
      <c r="D439" s="71" t="s">
        <v>977</v>
      </c>
      <c r="E439" s="72">
        <f t="shared" si="6"/>
        <v>0.73699999999999999</v>
      </c>
      <c r="F439" s="73">
        <v>0.53254130563995217</v>
      </c>
      <c r="G439" s="73" t="s">
        <v>1486</v>
      </c>
      <c r="H439" s="74"/>
      <c r="J439" s="82"/>
    </row>
    <row r="440" spans="2:10" ht="20.100000000000001" customHeight="1" x14ac:dyDescent="0.3">
      <c r="B440" s="69" t="s">
        <v>1411</v>
      </c>
      <c r="C440" s="70">
        <v>0.74</v>
      </c>
      <c r="D440" s="77" t="s">
        <v>937</v>
      </c>
      <c r="E440" s="72">
        <f t="shared" si="6"/>
        <v>0.68300000000000005</v>
      </c>
      <c r="F440" s="73">
        <v>0.50570000000000004</v>
      </c>
      <c r="G440" s="73"/>
      <c r="H440" s="84" t="s">
        <v>1412</v>
      </c>
      <c r="J440" s="82"/>
    </row>
    <row r="441" spans="2:10" ht="20.100000000000001" customHeight="1" x14ac:dyDescent="0.3">
      <c r="B441" s="69" t="s">
        <v>1413</v>
      </c>
      <c r="C441" s="70">
        <v>0.71948264204450119</v>
      </c>
      <c r="D441" s="71" t="s">
        <v>955</v>
      </c>
      <c r="E441" s="72">
        <f t="shared" si="6"/>
        <v>0.73799999999999999</v>
      </c>
      <c r="F441" s="73">
        <v>0.55218372912938274</v>
      </c>
      <c r="G441" s="73"/>
      <c r="H441" s="74" t="s">
        <v>949</v>
      </c>
      <c r="J441" s="82"/>
    </row>
    <row r="442" spans="2:10" ht="20.100000000000001" customHeight="1" x14ac:dyDescent="0.3">
      <c r="B442" s="69" t="s">
        <v>1414</v>
      </c>
      <c r="C442" s="70">
        <v>0.78060496292980053</v>
      </c>
      <c r="D442" s="71" t="s">
        <v>914</v>
      </c>
      <c r="E442" s="72">
        <f t="shared" si="6"/>
        <v>0.73699999999999999</v>
      </c>
      <c r="F442" s="73">
        <v>0.3656331035025957</v>
      </c>
      <c r="G442" s="73"/>
      <c r="H442" s="74"/>
      <c r="J442" s="82"/>
    </row>
    <row r="443" spans="2:10" ht="20.100000000000001" customHeight="1" x14ac:dyDescent="0.3">
      <c r="B443" s="69" t="s">
        <v>1415</v>
      </c>
      <c r="C443" s="70">
        <v>0.77373633308827827</v>
      </c>
      <c r="D443" s="77" t="s">
        <v>1009</v>
      </c>
      <c r="E443" s="72">
        <f t="shared" si="6"/>
        <v>0.80900000000000005</v>
      </c>
      <c r="F443" s="73">
        <v>0.37867155200605829</v>
      </c>
      <c r="G443" s="73"/>
      <c r="H443" s="74"/>
      <c r="J443" s="82"/>
    </row>
    <row r="444" spans="2:10" ht="20.100000000000001" customHeight="1" x14ac:dyDescent="0.3">
      <c r="B444" s="69" t="s">
        <v>1416</v>
      </c>
      <c r="C444" s="70">
        <v>0.69574810429294609</v>
      </c>
      <c r="D444" s="77" t="s">
        <v>961</v>
      </c>
      <c r="E444" s="72">
        <f t="shared" si="6"/>
        <v>0.64200000000000002</v>
      </c>
      <c r="F444" s="73">
        <v>0.57718703838006657</v>
      </c>
      <c r="G444" s="73" t="s">
        <v>1486</v>
      </c>
      <c r="H444" s="74"/>
      <c r="J444" s="82"/>
    </row>
    <row r="445" spans="2:10" ht="20.100000000000001" customHeight="1" x14ac:dyDescent="0.3">
      <c r="B445" s="69" t="s">
        <v>1417</v>
      </c>
      <c r="C445" s="70">
        <v>0.72259095853807631</v>
      </c>
      <c r="D445" s="71" t="s">
        <v>1172</v>
      </c>
      <c r="E445" s="72">
        <f t="shared" si="6"/>
        <v>0.68</v>
      </c>
      <c r="F445" s="73">
        <v>0.52338968609250647</v>
      </c>
      <c r="G445" s="73"/>
      <c r="H445" s="74"/>
      <c r="J445" s="82"/>
    </row>
    <row r="446" spans="2:10" ht="20.100000000000001" customHeight="1" x14ac:dyDescent="0.3">
      <c r="B446" s="69" t="s">
        <v>1418</v>
      </c>
      <c r="C446" s="70">
        <v>0.72617194336590396</v>
      </c>
      <c r="D446" s="71" t="s">
        <v>955</v>
      </c>
      <c r="E446" s="72">
        <f t="shared" si="6"/>
        <v>0.73799999999999999</v>
      </c>
      <c r="F446" s="73">
        <v>0.43866214050354979</v>
      </c>
      <c r="G446" s="73"/>
      <c r="H446" s="74">
        <v>4</v>
      </c>
      <c r="J446" s="82"/>
    </row>
    <row r="447" spans="2:10" ht="20.100000000000001" customHeight="1" x14ac:dyDescent="0.3">
      <c r="B447" s="69" t="s">
        <v>1419</v>
      </c>
      <c r="C447" s="70">
        <v>0.80950724287272013</v>
      </c>
      <c r="D447" s="71" t="s">
        <v>934</v>
      </c>
      <c r="E447" s="72">
        <f t="shared" si="6"/>
        <v>0.68799999999999994</v>
      </c>
      <c r="F447" s="73">
        <v>0.52348188186542877</v>
      </c>
      <c r="G447" s="73" t="s">
        <v>1488</v>
      </c>
      <c r="H447" s="74">
        <v>5</v>
      </c>
      <c r="J447" s="82"/>
    </row>
    <row r="448" spans="2:10" ht="20.100000000000001" customHeight="1" x14ac:dyDescent="0.3">
      <c r="B448" s="69" t="s">
        <v>1420</v>
      </c>
      <c r="C448" s="70">
        <v>0.67165968235825135</v>
      </c>
      <c r="D448" s="71" t="s">
        <v>946</v>
      </c>
      <c r="E448" s="72">
        <f t="shared" si="6"/>
        <v>0.67200000000000004</v>
      </c>
      <c r="F448" s="73">
        <v>0.6668564845949484</v>
      </c>
      <c r="G448" s="73" t="s">
        <v>1486</v>
      </c>
      <c r="H448" s="74"/>
      <c r="J448" s="82"/>
    </row>
    <row r="449" spans="2:10" ht="20.100000000000001" customHeight="1" x14ac:dyDescent="0.3">
      <c r="B449" s="69" t="s">
        <v>1421</v>
      </c>
      <c r="C449" s="70">
        <v>0.73406365887130876</v>
      </c>
      <c r="D449" s="77" t="s">
        <v>996</v>
      </c>
      <c r="E449" s="72">
        <f t="shared" si="6"/>
        <v>0.68300000000000005</v>
      </c>
      <c r="F449" s="73">
        <v>0.61270754581488263</v>
      </c>
      <c r="G449" s="73" t="s">
        <v>1488</v>
      </c>
      <c r="H449" s="74">
        <v>1</v>
      </c>
      <c r="J449" s="82"/>
    </row>
    <row r="450" spans="2:10" ht="20.100000000000001" customHeight="1" x14ac:dyDescent="0.3">
      <c r="B450" s="69" t="s">
        <v>1422</v>
      </c>
      <c r="C450" s="70">
        <v>0.68760001865811837</v>
      </c>
      <c r="D450" s="71" t="s">
        <v>974</v>
      </c>
      <c r="E450" s="72">
        <f t="shared" si="6"/>
        <v>0.64800000000000002</v>
      </c>
      <c r="F450" s="73">
        <v>0.61866063622030898</v>
      </c>
      <c r="G450" s="73"/>
      <c r="H450" s="74" t="s">
        <v>949</v>
      </c>
      <c r="J450" s="82"/>
    </row>
    <row r="451" spans="2:10" ht="20.100000000000001" customHeight="1" x14ac:dyDescent="0.3">
      <c r="B451" s="69" t="s">
        <v>1423</v>
      </c>
      <c r="C451" s="70">
        <v>0.81700035187743358</v>
      </c>
      <c r="D451" s="71" t="s">
        <v>955</v>
      </c>
      <c r="E451" s="72">
        <f t="shared" si="6"/>
        <v>0.73799999999999999</v>
      </c>
      <c r="F451" s="73">
        <v>0.31219303583056157</v>
      </c>
      <c r="G451" s="73"/>
      <c r="H451" s="74">
        <v>3</v>
      </c>
      <c r="J451" s="82"/>
    </row>
    <row r="452" spans="2:10" ht="20.100000000000001" customHeight="1" x14ac:dyDescent="0.3">
      <c r="B452" s="69" t="s">
        <v>1424</v>
      </c>
      <c r="C452" s="70">
        <v>0.77500000000000002</v>
      </c>
      <c r="D452" s="77" t="s">
        <v>937</v>
      </c>
      <c r="E452" s="72">
        <f t="shared" ref="E452:E500" si="7">VLOOKUP(D452,$J$5:$K$32,2,0)</f>
        <v>0.68300000000000005</v>
      </c>
      <c r="F452" s="73">
        <v>0.45760000000000001</v>
      </c>
      <c r="G452" s="73"/>
      <c r="H452" s="74"/>
      <c r="J452" s="82"/>
    </row>
    <row r="453" spans="2:10" ht="20.100000000000001" customHeight="1" x14ac:dyDescent="0.3">
      <c r="B453" s="69" t="s">
        <v>1425</v>
      </c>
      <c r="C453" s="70">
        <v>0.72487371071717099</v>
      </c>
      <c r="D453" s="77" t="s">
        <v>996</v>
      </c>
      <c r="E453" s="72">
        <f t="shared" si="7"/>
        <v>0.68300000000000005</v>
      </c>
      <c r="F453" s="73">
        <v>0.67597286329315798</v>
      </c>
      <c r="G453" s="73" t="s">
        <v>1488</v>
      </c>
      <c r="H453" s="74"/>
      <c r="J453" s="82"/>
    </row>
    <row r="454" spans="2:10" ht="20.100000000000001" customHeight="1" x14ac:dyDescent="0.3">
      <c r="B454" s="69" t="s">
        <v>1426</v>
      </c>
      <c r="C454" s="70">
        <v>0.72510228611298633</v>
      </c>
      <c r="D454" s="77" t="s">
        <v>917</v>
      </c>
      <c r="E454" s="72">
        <f t="shared" si="7"/>
        <v>0.70599999999999996</v>
      </c>
      <c r="F454" s="73">
        <v>0.61496967077529785</v>
      </c>
      <c r="G454" s="73" t="s">
        <v>1486</v>
      </c>
      <c r="H454" s="74"/>
      <c r="J454" s="82"/>
    </row>
    <row r="455" spans="2:10" ht="20.100000000000001" customHeight="1" x14ac:dyDescent="0.3">
      <c r="B455" s="69" t="s">
        <v>1427</v>
      </c>
      <c r="C455" s="70">
        <v>0.74541377091473515</v>
      </c>
      <c r="D455" s="71" t="s">
        <v>974</v>
      </c>
      <c r="E455" s="72">
        <f t="shared" si="7"/>
        <v>0.64800000000000002</v>
      </c>
      <c r="F455" s="73">
        <v>0.53050626496281028</v>
      </c>
      <c r="G455" s="73"/>
      <c r="H455" s="74"/>
      <c r="J455" s="82"/>
    </row>
    <row r="456" spans="2:10" ht="20.100000000000001" customHeight="1" x14ac:dyDescent="0.3">
      <c r="B456" s="69" t="s">
        <v>1428</v>
      </c>
      <c r="C456" s="70">
        <v>0.64939204252466531</v>
      </c>
      <c r="D456" s="71" t="s">
        <v>974</v>
      </c>
      <c r="E456" s="72">
        <f t="shared" si="7"/>
        <v>0.64800000000000002</v>
      </c>
      <c r="F456" s="73">
        <v>0.62857565733348741</v>
      </c>
      <c r="G456" s="73"/>
      <c r="H456" s="74">
        <v>9</v>
      </c>
      <c r="J456" s="82"/>
    </row>
    <row r="457" spans="2:10" ht="20.100000000000001" customHeight="1" x14ac:dyDescent="0.3">
      <c r="B457" s="69" t="s">
        <v>1429</v>
      </c>
      <c r="C457" s="70">
        <v>0.78336942681649768</v>
      </c>
      <c r="D457" s="71" t="s">
        <v>955</v>
      </c>
      <c r="E457" s="72">
        <f t="shared" si="7"/>
        <v>0.73799999999999999</v>
      </c>
      <c r="F457" s="73">
        <v>0.43276825934842444</v>
      </c>
      <c r="G457" s="73"/>
      <c r="H457" s="74"/>
      <c r="J457" s="82"/>
    </row>
    <row r="458" spans="2:10" ht="20.100000000000001" customHeight="1" x14ac:dyDescent="0.3">
      <c r="B458" s="69" t="s">
        <v>1430</v>
      </c>
      <c r="C458" s="70">
        <v>0.83400047164629398</v>
      </c>
      <c r="D458" s="71" t="s">
        <v>967</v>
      </c>
      <c r="E458" s="72">
        <f t="shared" si="7"/>
        <v>0.76200000000000001</v>
      </c>
      <c r="F458" s="73">
        <v>0.47243225430679336</v>
      </c>
      <c r="G458" s="73"/>
      <c r="H458" s="74">
        <v>1</v>
      </c>
      <c r="J458" s="82"/>
    </row>
    <row r="459" spans="2:10" ht="20.100000000000001" customHeight="1" x14ac:dyDescent="0.3">
      <c r="B459" s="69" t="s">
        <v>1431</v>
      </c>
      <c r="C459" s="70">
        <v>0.73573884718737992</v>
      </c>
      <c r="D459" s="71" t="s">
        <v>974</v>
      </c>
      <c r="E459" s="72">
        <f t="shared" si="7"/>
        <v>0.64800000000000002</v>
      </c>
      <c r="F459" s="73">
        <v>0.57596931790534167</v>
      </c>
      <c r="G459" s="73"/>
      <c r="H459" s="74"/>
      <c r="J459" s="82"/>
    </row>
    <row r="460" spans="2:10" ht="20.100000000000001" customHeight="1" x14ac:dyDescent="0.3">
      <c r="B460" s="69" t="s">
        <v>1432</v>
      </c>
      <c r="C460" s="70">
        <v>0.7343596727259285</v>
      </c>
      <c r="D460" s="71" t="s">
        <v>1172</v>
      </c>
      <c r="E460" s="72">
        <f t="shared" si="7"/>
        <v>0.68</v>
      </c>
      <c r="F460" s="73">
        <v>0.38727812479502288</v>
      </c>
      <c r="G460" s="73"/>
      <c r="H460" s="74"/>
      <c r="J460" s="82"/>
    </row>
    <row r="461" spans="2:10" ht="20.100000000000001" customHeight="1" x14ac:dyDescent="0.3">
      <c r="B461" s="69" t="s">
        <v>1433</v>
      </c>
      <c r="C461" s="70">
        <v>0.80684967811254837</v>
      </c>
      <c r="D461" s="77" t="s">
        <v>923</v>
      </c>
      <c r="E461" s="72">
        <f t="shared" si="7"/>
        <v>0.748</v>
      </c>
      <c r="F461" s="73">
        <v>0.47584428708282034</v>
      </c>
      <c r="G461" s="73"/>
      <c r="H461" s="74">
        <v>4</v>
      </c>
      <c r="J461" s="82"/>
    </row>
    <row r="462" spans="2:10" ht="20.100000000000001" customHeight="1" x14ac:dyDescent="0.3">
      <c r="B462" s="69" t="s">
        <v>1434</v>
      </c>
      <c r="C462" s="70">
        <v>0.68527771640314572</v>
      </c>
      <c r="D462" s="71" t="s">
        <v>974</v>
      </c>
      <c r="E462" s="72">
        <f t="shared" si="7"/>
        <v>0.64800000000000002</v>
      </c>
      <c r="F462" s="73">
        <v>0.63067060563857613</v>
      </c>
      <c r="G462" s="73"/>
      <c r="H462" s="74"/>
      <c r="J462" s="82"/>
    </row>
    <row r="463" spans="2:10" ht="20.100000000000001" customHeight="1" x14ac:dyDescent="0.3">
      <c r="B463" s="69" t="s">
        <v>1435</v>
      </c>
      <c r="C463" s="70">
        <v>0.79322979313577813</v>
      </c>
      <c r="D463" s="71" t="s">
        <v>1001</v>
      </c>
      <c r="E463" s="72">
        <f t="shared" si="7"/>
        <v>0.72399999999999998</v>
      </c>
      <c r="F463" s="73">
        <v>0.51282805614904758</v>
      </c>
      <c r="G463" s="73" t="s">
        <v>1488</v>
      </c>
      <c r="H463" s="74">
        <v>1</v>
      </c>
      <c r="J463" s="82"/>
    </row>
    <row r="464" spans="2:10" ht="20.100000000000001" customHeight="1" x14ac:dyDescent="0.3">
      <c r="B464" s="69" t="s">
        <v>1436</v>
      </c>
      <c r="C464" s="70">
        <v>0.76949690081108368</v>
      </c>
      <c r="D464" s="77" t="s">
        <v>996</v>
      </c>
      <c r="E464" s="72">
        <f t="shared" si="7"/>
        <v>0.68300000000000005</v>
      </c>
      <c r="F464" s="73">
        <v>0.57258411829005273</v>
      </c>
      <c r="G464" s="73" t="s">
        <v>1488</v>
      </c>
      <c r="H464" s="74"/>
      <c r="J464" s="82"/>
    </row>
    <row r="465" spans="2:10" ht="20.100000000000001" customHeight="1" x14ac:dyDescent="0.3">
      <c r="B465" s="69" t="s">
        <v>1437</v>
      </c>
      <c r="C465" s="70">
        <v>0.73191564018654653</v>
      </c>
      <c r="D465" s="71" t="s">
        <v>934</v>
      </c>
      <c r="E465" s="72">
        <f t="shared" si="7"/>
        <v>0.68799999999999994</v>
      </c>
      <c r="F465" s="73">
        <v>0.56393447079572001</v>
      </c>
      <c r="G465" s="73" t="s">
        <v>1488</v>
      </c>
      <c r="H465" s="74"/>
      <c r="J465" s="82"/>
    </row>
    <row r="466" spans="2:10" ht="20.100000000000001" customHeight="1" x14ac:dyDescent="0.3">
      <c r="B466" s="69" t="s">
        <v>1438</v>
      </c>
      <c r="C466" s="70">
        <v>0.78588912112344222</v>
      </c>
      <c r="D466" s="71" t="s">
        <v>943</v>
      </c>
      <c r="E466" s="72">
        <f t="shared" si="7"/>
        <v>0.76400000000000001</v>
      </c>
      <c r="F466" s="73">
        <v>0.1153345533882937</v>
      </c>
      <c r="G466" s="73"/>
      <c r="H466" s="74"/>
      <c r="J466" s="82"/>
    </row>
    <row r="467" spans="2:10" ht="20.100000000000001" customHeight="1" x14ac:dyDescent="0.3">
      <c r="B467" s="69" t="s">
        <v>1439</v>
      </c>
      <c r="C467" s="70">
        <v>0.80285042059344813</v>
      </c>
      <c r="D467" s="77" t="s">
        <v>923</v>
      </c>
      <c r="E467" s="72">
        <f t="shared" si="7"/>
        <v>0.748</v>
      </c>
      <c r="F467" s="73">
        <v>0.52192201702960928</v>
      </c>
      <c r="G467" s="73"/>
      <c r="H467" s="74"/>
      <c r="J467" s="82"/>
    </row>
    <row r="468" spans="2:10" ht="20.100000000000001" customHeight="1" x14ac:dyDescent="0.3">
      <c r="B468" s="69" t="s">
        <v>1440</v>
      </c>
      <c r="C468" s="70">
        <v>0.69642987434442072</v>
      </c>
      <c r="D468" s="71" t="s">
        <v>977</v>
      </c>
      <c r="E468" s="72">
        <f t="shared" si="7"/>
        <v>0.73699999999999999</v>
      </c>
      <c r="F468" s="73">
        <v>0.59631282885887882</v>
      </c>
      <c r="G468" s="73" t="s">
        <v>1486</v>
      </c>
      <c r="H468" s="74"/>
      <c r="J468" s="82"/>
    </row>
    <row r="469" spans="2:10" ht="20.100000000000001" customHeight="1" x14ac:dyDescent="0.3">
      <c r="B469" s="69" t="s">
        <v>1441</v>
      </c>
      <c r="C469" s="70">
        <v>0.75016121327352592</v>
      </c>
      <c r="D469" s="71" t="s">
        <v>914</v>
      </c>
      <c r="E469" s="72">
        <f t="shared" si="7"/>
        <v>0.73699999999999999</v>
      </c>
      <c r="F469" s="73">
        <v>0.45897353751756864</v>
      </c>
      <c r="G469" s="73"/>
      <c r="H469" s="74"/>
      <c r="J469" s="82"/>
    </row>
    <row r="470" spans="2:10" ht="20.100000000000001" customHeight="1" x14ac:dyDescent="0.3">
      <c r="B470" s="69" t="s">
        <v>1442</v>
      </c>
      <c r="C470" s="70">
        <v>0.76397771538316595</v>
      </c>
      <c r="D470" s="77" t="s">
        <v>917</v>
      </c>
      <c r="E470" s="72">
        <f t="shared" si="7"/>
        <v>0.70599999999999996</v>
      </c>
      <c r="F470" s="73">
        <v>0.44738727704771686</v>
      </c>
      <c r="G470" s="73" t="s">
        <v>1486</v>
      </c>
      <c r="H470" s="74"/>
      <c r="J470" s="82"/>
    </row>
    <row r="471" spans="2:10" ht="20.100000000000001" customHeight="1" x14ac:dyDescent="0.3">
      <c r="B471" s="69" t="s">
        <v>1443</v>
      </c>
      <c r="C471" s="70">
        <v>0.82419969027008322</v>
      </c>
      <c r="D471" s="71" t="s">
        <v>940</v>
      </c>
      <c r="E471" s="72">
        <f t="shared" si="7"/>
        <v>0.73399999999999999</v>
      </c>
      <c r="F471" s="73">
        <v>0.12440174767869</v>
      </c>
      <c r="G471" s="73"/>
      <c r="H471" s="74">
        <v>11</v>
      </c>
      <c r="J471" s="82"/>
    </row>
    <row r="472" spans="2:10" ht="20.100000000000001" customHeight="1" x14ac:dyDescent="0.3">
      <c r="B472" s="69" t="s">
        <v>1444</v>
      </c>
      <c r="C472" s="70">
        <v>0.7840900904485919</v>
      </c>
      <c r="D472" s="77" t="s">
        <v>923</v>
      </c>
      <c r="E472" s="72">
        <f t="shared" si="7"/>
        <v>0.748</v>
      </c>
      <c r="F472" s="73">
        <v>0.53786523413929643</v>
      </c>
      <c r="G472" s="73" t="s">
        <v>1488</v>
      </c>
      <c r="H472" s="74">
        <v>1</v>
      </c>
      <c r="J472" s="82"/>
    </row>
    <row r="473" spans="2:10" ht="20.100000000000001" customHeight="1" x14ac:dyDescent="0.3">
      <c r="B473" s="69" t="s">
        <v>1445</v>
      </c>
      <c r="C473" s="70">
        <v>0.67298975385228199</v>
      </c>
      <c r="D473" s="71" t="s">
        <v>946</v>
      </c>
      <c r="E473" s="72">
        <f t="shared" si="7"/>
        <v>0.67200000000000004</v>
      </c>
      <c r="F473" s="73">
        <v>0.60238559460738361</v>
      </c>
      <c r="G473" s="73" t="s">
        <v>1486</v>
      </c>
      <c r="H473" s="74"/>
      <c r="J473" s="82"/>
    </row>
    <row r="474" spans="2:10" ht="20.100000000000001" customHeight="1" x14ac:dyDescent="0.3">
      <c r="B474" s="69" t="s">
        <v>1446</v>
      </c>
      <c r="C474" s="70">
        <v>0.75492133254888882</v>
      </c>
      <c r="D474" s="71" t="s">
        <v>1019</v>
      </c>
      <c r="E474" s="72">
        <f t="shared" si="7"/>
        <v>0.72499999999999998</v>
      </c>
      <c r="F474" s="73">
        <v>0.60435241917596128</v>
      </c>
      <c r="G474" s="73" t="s">
        <v>1488</v>
      </c>
      <c r="H474" s="74"/>
      <c r="J474" s="82"/>
    </row>
    <row r="475" spans="2:10" ht="20.100000000000001" customHeight="1" x14ac:dyDescent="0.3">
      <c r="B475" s="69" t="s">
        <v>1447</v>
      </c>
      <c r="C475" s="70">
        <v>0.82259850545321989</v>
      </c>
      <c r="D475" s="71" t="s">
        <v>958</v>
      </c>
      <c r="E475" s="72">
        <f t="shared" si="7"/>
        <v>0.79600000000000004</v>
      </c>
      <c r="F475" s="73">
        <v>0.34314550614030748</v>
      </c>
      <c r="G475" s="73"/>
      <c r="H475" s="74">
        <v>5</v>
      </c>
      <c r="J475" s="82"/>
    </row>
    <row r="476" spans="2:10" ht="20.100000000000001" customHeight="1" x14ac:dyDescent="0.3">
      <c r="B476" s="69" t="s">
        <v>1448</v>
      </c>
      <c r="C476" s="70">
        <v>0.70203594046564077</v>
      </c>
      <c r="D476" s="71" t="s">
        <v>1026</v>
      </c>
      <c r="E476" s="72">
        <f t="shared" si="7"/>
        <v>0.68200000000000005</v>
      </c>
      <c r="F476" s="73">
        <v>0.66472276851733103</v>
      </c>
      <c r="G476" s="73" t="s">
        <v>1487</v>
      </c>
      <c r="H476" s="74"/>
      <c r="J476" s="82"/>
    </row>
    <row r="477" spans="2:10" ht="20.100000000000001" customHeight="1" x14ac:dyDescent="0.3">
      <c r="B477" s="69" t="s">
        <v>1449</v>
      </c>
      <c r="C477" s="70">
        <v>0.68484545192873691</v>
      </c>
      <c r="D477" s="77" t="s">
        <v>926</v>
      </c>
      <c r="E477" s="72">
        <f t="shared" si="7"/>
        <v>0.66400000000000003</v>
      </c>
      <c r="F477" s="73">
        <v>0.79968349476934852</v>
      </c>
      <c r="G477" s="73" t="s">
        <v>1487</v>
      </c>
      <c r="H477" s="74"/>
      <c r="J477" s="82"/>
    </row>
    <row r="478" spans="2:10" ht="20.100000000000001" customHeight="1" x14ac:dyDescent="0.3">
      <c r="B478" s="69" t="s">
        <v>1450</v>
      </c>
      <c r="C478" s="70">
        <v>0.70629660828739627</v>
      </c>
      <c r="D478" s="77" t="s">
        <v>952</v>
      </c>
      <c r="E478" s="72">
        <f t="shared" si="7"/>
        <v>0.72599999999999998</v>
      </c>
      <c r="F478" s="73">
        <v>0.45206750581444999</v>
      </c>
      <c r="G478" s="73"/>
      <c r="H478" s="74"/>
      <c r="J478" s="82"/>
    </row>
    <row r="479" spans="2:10" ht="20.100000000000001" customHeight="1" x14ac:dyDescent="0.3">
      <c r="B479" s="69" t="s">
        <v>1451</v>
      </c>
      <c r="C479" s="70">
        <v>0.64553677639104334</v>
      </c>
      <c r="D479" s="71" t="s">
        <v>977</v>
      </c>
      <c r="E479" s="72">
        <f t="shared" si="7"/>
        <v>0.73699999999999999</v>
      </c>
      <c r="F479" s="73">
        <v>0.59380591696170448</v>
      </c>
      <c r="G479" s="73" t="s">
        <v>1486</v>
      </c>
      <c r="H479" s="74"/>
      <c r="J479" s="82"/>
    </row>
    <row r="480" spans="2:10" ht="20.100000000000001" customHeight="1" x14ac:dyDescent="0.3">
      <c r="B480" s="69" t="s">
        <v>1452</v>
      </c>
      <c r="C480" s="70">
        <v>0.74749957038669701</v>
      </c>
      <c r="D480" s="71" t="s">
        <v>940</v>
      </c>
      <c r="E480" s="72">
        <f t="shared" si="7"/>
        <v>0.73399999999999999</v>
      </c>
      <c r="F480" s="73">
        <v>0.4431236443379617</v>
      </c>
      <c r="G480" s="73"/>
      <c r="H480" s="74">
        <v>4</v>
      </c>
      <c r="J480" s="82"/>
    </row>
    <row r="481" spans="2:10" ht="20.100000000000001" customHeight="1" x14ac:dyDescent="0.3">
      <c r="B481" s="69" t="s">
        <v>1453</v>
      </c>
      <c r="C481" s="70">
        <v>0.64361427132071092</v>
      </c>
      <c r="D481" s="71" t="s">
        <v>977</v>
      </c>
      <c r="E481" s="72">
        <f t="shared" si="7"/>
        <v>0.73699999999999999</v>
      </c>
      <c r="F481" s="73">
        <v>0.55334416833289279</v>
      </c>
      <c r="G481" s="73" t="s">
        <v>1486</v>
      </c>
      <c r="H481" s="74"/>
      <c r="J481" s="82"/>
    </row>
    <row r="482" spans="2:10" ht="20.100000000000001" customHeight="1" x14ac:dyDescent="0.3">
      <c r="B482" s="69" t="s">
        <v>1454</v>
      </c>
      <c r="C482" s="70">
        <v>0.79039970763687051</v>
      </c>
      <c r="D482" s="71" t="s">
        <v>931</v>
      </c>
      <c r="E482" s="72">
        <f t="shared" si="7"/>
        <v>0.76900000000000002</v>
      </c>
      <c r="F482" s="73">
        <v>0.42881957098113088</v>
      </c>
      <c r="G482" s="73"/>
      <c r="H482" s="74"/>
      <c r="J482" s="82"/>
    </row>
    <row r="483" spans="2:10" ht="20.100000000000001" customHeight="1" x14ac:dyDescent="0.3">
      <c r="B483" s="69" t="s">
        <v>1455</v>
      </c>
      <c r="C483" s="70">
        <v>0.76557058278278967</v>
      </c>
      <c r="D483" s="71" t="s">
        <v>977</v>
      </c>
      <c r="E483" s="72">
        <f t="shared" si="7"/>
        <v>0.73699999999999999</v>
      </c>
      <c r="F483" s="73">
        <v>0.34795002019357402</v>
      </c>
      <c r="G483" s="73" t="s">
        <v>1486</v>
      </c>
      <c r="H483" s="74">
        <v>4</v>
      </c>
      <c r="J483" s="82"/>
    </row>
    <row r="484" spans="2:10" ht="20.100000000000001" customHeight="1" x14ac:dyDescent="0.3">
      <c r="B484" s="69" t="s">
        <v>1456</v>
      </c>
      <c r="C484" s="70">
        <v>0.73517792990965602</v>
      </c>
      <c r="D484" s="71" t="s">
        <v>977</v>
      </c>
      <c r="E484" s="72">
        <f t="shared" si="7"/>
        <v>0.73699999999999999</v>
      </c>
      <c r="F484" s="73">
        <v>0.49538874671502153</v>
      </c>
      <c r="G484" s="73" t="s">
        <v>1486</v>
      </c>
      <c r="H484" s="74">
        <v>1</v>
      </c>
      <c r="J484" s="82"/>
    </row>
    <row r="485" spans="2:10" ht="20.100000000000001" customHeight="1" x14ac:dyDescent="0.3">
      <c r="B485" s="69" t="s">
        <v>1457</v>
      </c>
      <c r="C485" s="70">
        <v>0.85338363981822396</v>
      </c>
      <c r="D485" s="71" t="s">
        <v>958</v>
      </c>
      <c r="E485" s="72">
        <f t="shared" si="7"/>
        <v>0.79600000000000004</v>
      </c>
      <c r="F485" s="73">
        <v>0.18275078356039418</v>
      </c>
      <c r="G485" s="73"/>
      <c r="H485" s="74"/>
      <c r="J485" s="82"/>
    </row>
    <row r="486" spans="2:10" ht="20.100000000000001" customHeight="1" x14ac:dyDescent="0.3">
      <c r="B486" s="69" t="s">
        <v>1458</v>
      </c>
      <c r="C486" s="70">
        <v>0.76146324400780951</v>
      </c>
      <c r="D486" s="71" t="s">
        <v>955</v>
      </c>
      <c r="E486" s="72">
        <f t="shared" si="7"/>
        <v>0.73799999999999999</v>
      </c>
      <c r="F486" s="73">
        <v>0.42336632366999294</v>
      </c>
      <c r="G486" s="73"/>
      <c r="H486" s="74"/>
      <c r="J486" s="82"/>
    </row>
    <row r="487" spans="2:10" ht="20.100000000000001" customHeight="1" x14ac:dyDescent="0.3">
      <c r="B487" s="69" t="s">
        <v>1459</v>
      </c>
      <c r="C487" s="70">
        <v>0.76129446001282464</v>
      </c>
      <c r="D487" s="71" t="s">
        <v>967</v>
      </c>
      <c r="E487" s="72">
        <f t="shared" si="7"/>
        <v>0.76200000000000001</v>
      </c>
      <c r="F487" s="73">
        <v>0.49168132011048626</v>
      </c>
      <c r="G487" s="73"/>
      <c r="H487" s="74"/>
      <c r="J487" s="82"/>
    </row>
    <row r="488" spans="2:10" ht="20.100000000000001" customHeight="1" x14ac:dyDescent="0.3">
      <c r="B488" s="69" t="s">
        <v>1460</v>
      </c>
      <c r="C488" s="70">
        <v>0.65180444617324951</v>
      </c>
      <c r="D488" s="71" t="s">
        <v>943</v>
      </c>
      <c r="E488" s="72">
        <f t="shared" si="7"/>
        <v>0.76400000000000001</v>
      </c>
      <c r="F488" s="73">
        <v>0.55748685497544603</v>
      </c>
      <c r="G488" s="73"/>
      <c r="H488" s="74"/>
      <c r="J488" s="82"/>
    </row>
    <row r="489" spans="2:10" ht="20.100000000000001" customHeight="1" x14ac:dyDescent="0.3">
      <c r="B489" s="69" t="s">
        <v>1461</v>
      </c>
      <c r="C489" s="70">
        <v>0.67593065838626298</v>
      </c>
      <c r="D489" s="71" t="s">
        <v>934</v>
      </c>
      <c r="E489" s="72">
        <f t="shared" si="7"/>
        <v>0.68799999999999994</v>
      </c>
      <c r="F489" s="73">
        <v>0.70482170554299095</v>
      </c>
      <c r="G489" s="73" t="s">
        <v>1488</v>
      </c>
      <c r="H489" s="74"/>
      <c r="J489" s="82"/>
    </row>
    <row r="490" spans="2:10" ht="20.100000000000001" customHeight="1" x14ac:dyDescent="0.3">
      <c r="B490" s="69" t="s">
        <v>1462</v>
      </c>
      <c r="C490" s="70">
        <v>0.81399999999999995</v>
      </c>
      <c r="D490" s="77" t="s">
        <v>937</v>
      </c>
      <c r="E490" s="72">
        <f t="shared" si="7"/>
        <v>0.68300000000000005</v>
      </c>
      <c r="F490" s="73">
        <v>0.39889999999999998</v>
      </c>
      <c r="G490" s="73"/>
      <c r="H490" s="74"/>
      <c r="J490" s="82"/>
    </row>
    <row r="491" spans="2:10" ht="20.100000000000001" customHeight="1" x14ac:dyDescent="0.3">
      <c r="B491" s="69" t="s">
        <v>1463</v>
      </c>
      <c r="C491" s="70">
        <v>0.78847281491975107</v>
      </c>
      <c r="D491" s="71" t="s">
        <v>958</v>
      </c>
      <c r="E491" s="72">
        <f t="shared" si="7"/>
        <v>0.79600000000000004</v>
      </c>
      <c r="F491" s="73">
        <v>0.25211304470905449</v>
      </c>
      <c r="G491" s="73"/>
      <c r="H491" s="74"/>
      <c r="J491" s="82"/>
    </row>
    <row r="492" spans="2:10" ht="20.100000000000001" customHeight="1" x14ac:dyDescent="0.3">
      <c r="B492" s="69" t="s">
        <v>1464</v>
      </c>
      <c r="C492" s="70">
        <v>0.7930078744882022</v>
      </c>
      <c r="D492" s="71" t="s">
        <v>914</v>
      </c>
      <c r="E492" s="72">
        <f t="shared" si="7"/>
        <v>0.73699999999999999</v>
      </c>
      <c r="F492" s="73">
        <v>0.37249819623354952</v>
      </c>
      <c r="G492" s="73"/>
      <c r="H492" s="74"/>
      <c r="J492" s="82"/>
    </row>
    <row r="493" spans="2:10" ht="20.100000000000001" customHeight="1" x14ac:dyDescent="0.3">
      <c r="B493" s="69" t="s">
        <v>1465</v>
      </c>
      <c r="C493" s="70">
        <v>0.8388198583982831</v>
      </c>
      <c r="D493" s="71" t="s">
        <v>931</v>
      </c>
      <c r="E493" s="72">
        <f t="shared" si="7"/>
        <v>0.76900000000000002</v>
      </c>
      <c r="F493" s="73">
        <v>0.31353702332696853</v>
      </c>
      <c r="G493" s="73"/>
      <c r="H493" s="74"/>
      <c r="J493" s="82"/>
    </row>
    <row r="494" spans="2:10" ht="20.100000000000001" customHeight="1" x14ac:dyDescent="0.3">
      <c r="B494" s="69" t="s">
        <v>1466</v>
      </c>
      <c r="C494" s="70">
        <v>0.72751592028171164</v>
      </c>
      <c r="D494" s="77" t="s">
        <v>1028</v>
      </c>
      <c r="E494" s="72">
        <f t="shared" si="7"/>
        <v>0.66500000000000004</v>
      </c>
      <c r="F494" s="73">
        <v>0.57142855806423964</v>
      </c>
      <c r="G494" s="73" t="s">
        <v>1487</v>
      </c>
      <c r="H494" s="74">
        <v>1</v>
      </c>
      <c r="J494" s="82"/>
    </row>
    <row r="495" spans="2:10" ht="20.100000000000001" customHeight="1" x14ac:dyDescent="0.3">
      <c r="B495" s="69" t="s">
        <v>1467</v>
      </c>
      <c r="C495" s="70">
        <v>0.80804701590185557</v>
      </c>
      <c r="D495" s="71" t="s">
        <v>934</v>
      </c>
      <c r="E495" s="72">
        <f t="shared" si="7"/>
        <v>0.68799999999999994</v>
      </c>
      <c r="F495" s="73">
        <v>0.563451285312217</v>
      </c>
      <c r="G495" s="73" t="s">
        <v>1488</v>
      </c>
      <c r="H495" s="74"/>
      <c r="J495" s="82"/>
    </row>
    <row r="496" spans="2:10" ht="20.100000000000001" customHeight="1" x14ac:dyDescent="0.3">
      <c r="B496" s="69" t="s">
        <v>1468</v>
      </c>
      <c r="C496" s="70">
        <v>0.81218683957714177</v>
      </c>
      <c r="D496" s="71" t="s">
        <v>958</v>
      </c>
      <c r="E496" s="72">
        <f t="shared" si="7"/>
        <v>0.79600000000000004</v>
      </c>
      <c r="F496" s="73">
        <v>0.36515360196463109</v>
      </c>
      <c r="G496" s="73"/>
      <c r="H496" s="74">
        <v>3</v>
      </c>
      <c r="J496" s="82"/>
    </row>
    <row r="497" spans="2:10" ht="20.100000000000001" customHeight="1" x14ac:dyDescent="0.3">
      <c r="B497" s="69" t="s">
        <v>1469</v>
      </c>
      <c r="C497" s="70">
        <v>0.78892333787848401</v>
      </c>
      <c r="D497" s="77" t="s">
        <v>996</v>
      </c>
      <c r="E497" s="72">
        <f t="shared" si="7"/>
        <v>0.68300000000000005</v>
      </c>
      <c r="F497" s="73">
        <v>0.61708553413357392</v>
      </c>
      <c r="G497" s="73" t="s">
        <v>1488</v>
      </c>
      <c r="H497" s="74"/>
      <c r="J497" s="82"/>
    </row>
    <row r="498" spans="2:10" ht="20.100000000000001" customHeight="1" x14ac:dyDescent="0.3">
      <c r="B498" s="69" t="s">
        <v>1470</v>
      </c>
      <c r="C498" s="70">
        <v>0.72669394417655575</v>
      </c>
      <c r="D498" s="71" t="s">
        <v>1019</v>
      </c>
      <c r="E498" s="72">
        <f t="shared" si="7"/>
        <v>0.72499999999999998</v>
      </c>
      <c r="F498" s="73">
        <v>0.60685912712805712</v>
      </c>
      <c r="G498" s="73" t="s">
        <v>1488</v>
      </c>
      <c r="H498" s="74"/>
      <c r="J498" s="82"/>
    </row>
    <row r="499" spans="2:10" ht="20.100000000000001" customHeight="1" x14ac:dyDescent="0.3">
      <c r="B499" s="69" t="s">
        <v>1471</v>
      </c>
      <c r="C499" s="70">
        <v>0.81711971306648989</v>
      </c>
      <c r="D499" s="71" t="s">
        <v>955</v>
      </c>
      <c r="E499" s="72">
        <f t="shared" si="7"/>
        <v>0.73799999999999999</v>
      </c>
      <c r="F499" s="73">
        <v>0.28667822514902169</v>
      </c>
      <c r="G499" s="73"/>
      <c r="H499" s="74"/>
      <c r="J499" s="82"/>
    </row>
    <row r="500" spans="2:10" ht="20.100000000000001" customHeight="1" thickBot="1" x14ac:dyDescent="0.35">
      <c r="B500" s="85" t="s">
        <v>1472</v>
      </c>
      <c r="C500" s="86">
        <v>0.72282357988957779</v>
      </c>
      <c r="D500" s="87" t="s">
        <v>974</v>
      </c>
      <c r="E500" s="88">
        <f t="shared" si="7"/>
        <v>0.64800000000000002</v>
      </c>
      <c r="F500" s="89">
        <v>0.50473462268909941</v>
      </c>
      <c r="G500" s="89"/>
      <c r="H500" s="90"/>
      <c r="J500" s="82"/>
    </row>
    <row r="501" spans="2:10" x14ac:dyDescent="0.3">
      <c r="B501" s="91"/>
      <c r="C501" s="92"/>
      <c r="D501" s="91"/>
      <c r="E501" s="93"/>
      <c r="F501" s="94"/>
      <c r="G501" s="94"/>
      <c r="H501" s="95"/>
    </row>
    <row r="502" spans="2:10" x14ac:dyDescent="0.3">
      <c r="B502" s="92" t="s">
        <v>1473</v>
      </c>
      <c r="C502" s="92"/>
      <c r="D502" s="91"/>
      <c r="E502" s="93"/>
      <c r="F502" s="94"/>
      <c r="G502" s="94"/>
      <c r="H502" s="95"/>
    </row>
    <row r="503" spans="2:10" x14ac:dyDescent="0.3">
      <c r="B503" s="92"/>
      <c r="C503" s="92"/>
      <c r="D503" s="91"/>
      <c r="E503" s="93"/>
      <c r="F503" s="94"/>
      <c r="G503" s="94"/>
      <c r="H503" s="95"/>
    </row>
    <row r="504" spans="2:10" x14ac:dyDescent="0.3">
      <c r="B504" s="92" t="s">
        <v>1474</v>
      </c>
      <c r="C504" s="92"/>
      <c r="D504" s="91"/>
      <c r="E504" s="93"/>
      <c r="F504" s="94"/>
      <c r="G504" s="94"/>
      <c r="H504" s="95"/>
    </row>
    <row r="505" spans="2:10" x14ac:dyDescent="0.3">
      <c r="B505" s="92" t="s">
        <v>1475</v>
      </c>
      <c r="C505" s="92"/>
      <c r="D505" s="91"/>
      <c r="E505" s="93"/>
      <c r="F505" s="94"/>
      <c r="G505" s="94"/>
      <c r="H505" s="95"/>
    </row>
    <row r="506" spans="2:10" x14ac:dyDescent="0.3">
      <c r="B506" s="92" t="s">
        <v>1476</v>
      </c>
      <c r="C506" s="92"/>
      <c r="D506" s="91"/>
      <c r="E506" s="93"/>
      <c r="F506" s="94"/>
      <c r="G506" s="94"/>
      <c r="H506" s="95"/>
    </row>
    <row r="507" spans="2:10" x14ac:dyDescent="0.3">
      <c r="B507" s="92" t="s">
        <v>1477</v>
      </c>
      <c r="C507" s="92"/>
      <c r="D507" s="91"/>
      <c r="E507" s="93"/>
      <c r="F507" s="94"/>
      <c r="G507" s="94"/>
      <c r="H507" s="95"/>
    </row>
    <row r="508" spans="2:10" x14ac:dyDescent="0.3">
      <c r="B508" s="92" t="s">
        <v>1478</v>
      </c>
      <c r="C508" s="92"/>
      <c r="D508" s="91"/>
      <c r="E508" s="93"/>
      <c r="F508" s="94"/>
      <c r="G508" s="94"/>
      <c r="H508" s="95"/>
    </row>
    <row r="509" spans="2:10" x14ac:dyDescent="0.3">
      <c r="B509" s="92" t="s">
        <v>1479</v>
      </c>
      <c r="C509" s="92"/>
      <c r="D509" s="91"/>
      <c r="E509" s="93"/>
      <c r="F509" s="94"/>
      <c r="G509" s="94"/>
      <c r="H509" s="95"/>
    </row>
    <row r="510" spans="2:10" x14ac:dyDescent="0.3">
      <c r="B510" s="92" t="s">
        <v>1480</v>
      </c>
      <c r="C510" s="92"/>
      <c r="D510" s="91"/>
      <c r="E510" s="93"/>
      <c r="F510" s="94"/>
      <c r="G510" s="94"/>
      <c r="H510" s="95"/>
    </row>
    <row r="511" spans="2:10" x14ac:dyDescent="0.3">
      <c r="B511" s="92" t="s">
        <v>1481</v>
      </c>
      <c r="C511" s="92"/>
      <c r="D511" s="91"/>
      <c r="E511" s="93"/>
      <c r="F511" s="94"/>
      <c r="G511" s="94"/>
      <c r="H511" s="95"/>
    </row>
    <row r="512" spans="2:10" x14ac:dyDescent="0.3">
      <c r="B512" s="92" t="s">
        <v>1482</v>
      </c>
      <c r="C512" s="92"/>
      <c r="D512" s="91"/>
      <c r="E512" s="93"/>
      <c r="F512" s="94"/>
      <c r="G512" s="94"/>
      <c r="H512" s="95"/>
    </row>
    <row r="513" spans="2:8" x14ac:dyDescent="0.3">
      <c r="B513" s="92" t="s">
        <v>1483</v>
      </c>
      <c r="C513" s="92"/>
      <c r="D513" s="91"/>
      <c r="E513" s="93"/>
      <c r="F513" s="94"/>
      <c r="G513" s="94"/>
      <c r="H513" s="95"/>
    </row>
    <row r="514" spans="2:8" x14ac:dyDescent="0.3">
      <c r="B514" s="92" t="s">
        <v>1484</v>
      </c>
      <c r="C514" s="92"/>
      <c r="D514" s="91"/>
      <c r="E514" s="93"/>
      <c r="F514" s="94"/>
      <c r="G514" s="94"/>
      <c r="H514" s="95"/>
    </row>
  </sheetData>
  <sheetProtection algorithmName="SHA-512" hashValue="mfLMxraXAOJZlTQ4gS4uE3qyBbTx3PR6RG/sB2GxCYhsbCSXgI1ycWTKofPVQxqyygVDYwbn4GLL5MfjaLY5Tg==" saltValue="Fv49fskebtcdQ0h6ccMI/g==" spinCount="100000" sheet="1" autoFilter="0"/>
  <autoFilter ref="B2:H500"/>
  <sortState ref="B4:H500">
    <sortCondition ref="B4:B500"/>
  </sortState>
  <mergeCells count="2">
    <mergeCell ref="J2:J3"/>
    <mergeCell ref="K2:K3"/>
  </mergeCells>
  <conditionalFormatting sqref="K5">
    <cfRule type="cellIs" dxfId="40" priority="33" operator="lessThan">
      <formula>$K$4</formula>
    </cfRule>
    <cfRule type="cellIs" dxfId="39" priority="34" operator="greaterThanOrEqual">
      <formula>$K$4</formula>
    </cfRule>
  </conditionalFormatting>
  <conditionalFormatting sqref="K6:K32">
    <cfRule type="cellIs" dxfId="38" priority="31" operator="lessThan">
      <formula>$K$4</formula>
    </cfRule>
    <cfRule type="cellIs" dxfId="37" priority="32" operator="greaterThanOrEqual">
      <formula>$K$4</formula>
    </cfRule>
  </conditionalFormatting>
  <conditionalFormatting sqref="E4">
    <cfRule type="cellIs" dxfId="36" priority="29" operator="lessThan">
      <formula>$K$4</formula>
    </cfRule>
    <cfRule type="cellIs" dxfId="35" priority="30" operator="greaterThanOrEqual">
      <formula>$K$4</formula>
    </cfRule>
  </conditionalFormatting>
  <conditionalFormatting sqref="E20 E34 E41 E51 E72 E91 E108 E128 E141 E155:E500">
    <cfRule type="cellIs" dxfId="34" priority="27" operator="lessThan">
      <formula>$K$4</formula>
    </cfRule>
    <cfRule type="cellIs" dxfId="33" priority="28" operator="greaterThanOrEqual">
      <formula>$K$4</formula>
    </cfRule>
  </conditionalFormatting>
  <conditionalFormatting sqref="E5:E19">
    <cfRule type="cellIs" dxfId="32" priority="25" operator="lessThan">
      <formula>$K$4</formula>
    </cfRule>
    <cfRule type="cellIs" dxfId="31" priority="26" operator="greaterThanOrEqual">
      <formula>$K$4</formula>
    </cfRule>
  </conditionalFormatting>
  <conditionalFormatting sqref="E21:E33">
    <cfRule type="cellIs" dxfId="30" priority="23" operator="lessThan">
      <formula>$K$4</formula>
    </cfRule>
    <cfRule type="cellIs" dxfId="29" priority="24" operator="greaterThanOrEqual">
      <formula>$K$4</formula>
    </cfRule>
  </conditionalFormatting>
  <conditionalFormatting sqref="E35:E40">
    <cfRule type="cellIs" dxfId="28" priority="21" operator="lessThan">
      <formula>$K$4</formula>
    </cfRule>
    <cfRule type="cellIs" dxfId="27" priority="22" operator="greaterThanOrEqual">
      <formula>$K$4</formula>
    </cfRule>
  </conditionalFormatting>
  <conditionalFormatting sqref="E42:E50">
    <cfRule type="cellIs" dxfId="26" priority="19" operator="lessThan">
      <formula>$K$4</formula>
    </cfRule>
    <cfRule type="cellIs" dxfId="25" priority="20" operator="greaterThanOrEqual">
      <formula>$K$4</formula>
    </cfRule>
  </conditionalFormatting>
  <conditionalFormatting sqref="E52:E71">
    <cfRule type="cellIs" dxfId="24" priority="17" operator="lessThan">
      <formula>$K$4</formula>
    </cfRule>
    <cfRule type="cellIs" dxfId="23" priority="18" operator="greaterThanOrEqual">
      <formula>$K$4</formula>
    </cfRule>
  </conditionalFormatting>
  <conditionalFormatting sqref="E73:E90">
    <cfRule type="cellIs" dxfId="22" priority="15" operator="lessThan">
      <formula>$K$4</formula>
    </cfRule>
    <cfRule type="cellIs" dxfId="21" priority="16" operator="greaterThanOrEqual">
      <formula>$K$4</formula>
    </cfRule>
  </conditionalFormatting>
  <conditionalFormatting sqref="E92:E107">
    <cfRule type="cellIs" dxfId="20" priority="13" operator="lessThan">
      <formula>$K$4</formula>
    </cfRule>
    <cfRule type="cellIs" dxfId="19" priority="14" operator="greaterThanOrEqual">
      <formula>$K$4</formula>
    </cfRule>
  </conditionalFormatting>
  <conditionalFormatting sqref="E109:E127">
    <cfRule type="cellIs" dxfId="18" priority="11" operator="lessThan">
      <formula>$K$4</formula>
    </cfRule>
    <cfRule type="cellIs" dxfId="17" priority="12" operator="greaterThanOrEqual">
      <formula>$K$4</formula>
    </cfRule>
  </conditionalFormatting>
  <conditionalFormatting sqref="E129:E140">
    <cfRule type="cellIs" dxfId="16" priority="9" operator="lessThan">
      <formula>$K$4</formula>
    </cfRule>
    <cfRule type="cellIs" dxfId="15" priority="10" operator="greaterThanOrEqual">
      <formula>$K$4</formula>
    </cfRule>
  </conditionalFormatting>
  <conditionalFormatting sqref="E142:E147">
    <cfRule type="cellIs" dxfId="14" priority="7" operator="lessThan">
      <formula>$K$4</formula>
    </cfRule>
    <cfRule type="cellIs" dxfId="13" priority="8" operator="greaterThanOrEqual">
      <formula>$K$4</formula>
    </cfRule>
  </conditionalFormatting>
  <conditionalFormatting sqref="E148">
    <cfRule type="cellIs" dxfId="12" priority="5" operator="lessThan">
      <formula>$K$4</formula>
    </cfRule>
    <cfRule type="cellIs" dxfId="11" priority="6" operator="greaterThanOrEqual">
      <formula>$K$4</formula>
    </cfRule>
  </conditionalFormatting>
  <conditionalFormatting sqref="E149:E154">
    <cfRule type="cellIs" dxfId="10" priority="3" operator="lessThan">
      <formula>$K$4</formula>
    </cfRule>
    <cfRule type="cellIs" dxfId="9" priority="4" operator="greaterThanOrEqual">
      <formula>$K$4</formula>
    </cfRule>
  </conditionalFormatting>
  <conditionalFormatting sqref="C4:C500">
    <cfRule type="cellIs" dxfId="8" priority="1" operator="lessThan">
      <formula>$K$4</formula>
    </cfRule>
    <cfRule type="cellIs" dxfId="7" priority="2" operator="greaterThanOrEqual">
      <formula>$K$4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B1:F33"/>
  <sheetViews>
    <sheetView workbookViewId="0">
      <selection activeCell="B2" sqref="B2"/>
    </sheetView>
  </sheetViews>
  <sheetFormatPr defaultColWidth="8.88671875" defaultRowHeight="14.4" x14ac:dyDescent="0.3"/>
  <cols>
    <col min="1" max="1" width="3.44140625" style="96" customWidth="1"/>
    <col min="2" max="2" width="8.88671875" style="96"/>
    <col min="3" max="3" width="17.33203125" style="96" customWidth="1"/>
    <col min="4" max="5" width="8.88671875" style="96"/>
    <col min="6" max="6" width="96.5546875" style="96" bestFit="1" customWidth="1"/>
    <col min="7" max="16384" width="8.88671875" style="96"/>
  </cols>
  <sheetData>
    <row r="1" spans="2:6" ht="15" thickBot="1" x14ac:dyDescent="0.35"/>
    <row r="2" spans="2:6" ht="15" thickBot="1" x14ac:dyDescent="0.35">
      <c r="B2" s="97" t="s">
        <v>846</v>
      </c>
      <c r="C2" s="98" t="s">
        <v>847</v>
      </c>
      <c r="D2" s="98" t="s">
        <v>849</v>
      </c>
      <c r="E2" s="98" t="s">
        <v>848</v>
      </c>
      <c r="F2" s="99" t="s">
        <v>850</v>
      </c>
    </row>
    <row r="3" spans="2:6" ht="15" customHeight="1" x14ac:dyDescent="0.3">
      <c r="B3" s="384" t="s">
        <v>851</v>
      </c>
      <c r="C3" s="386" t="s">
        <v>852</v>
      </c>
      <c r="D3" s="100">
        <v>21</v>
      </c>
      <c r="E3" s="100">
        <v>25</v>
      </c>
      <c r="F3" s="101" t="s">
        <v>865</v>
      </c>
    </row>
    <row r="4" spans="2:6" ht="14.4" customHeight="1" x14ac:dyDescent="0.3">
      <c r="B4" s="385"/>
      <c r="C4" s="387"/>
      <c r="D4" s="102">
        <v>26</v>
      </c>
      <c r="E4" s="102">
        <v>25</v>
      </c>
      <c r="F4" s="103" t="s">
        <v>853</v>
      </c>
    </row>
    <row r="5" spans="2:6" ht="15" thickBot="1" x14ac:dyDescent="0.35">
      <c r="B5" s="385"/>
      <c r="C5" s="387"/>
      <c r="D5" s="104">
        <v>304</v>
      </c>
      <c r="E5" s="104">
        <v>25</v>
      </c>
      <c r="F5" s="105" t="s">
        <v>855</v>
      </c>
    </row>
    <row r="6" spans="2:6" ht="14.4" customHeight="1" x14ac:dyDescent="0.3">
      <c r="B6" s="378" t="s">
        <v>856</v>
      </c>
      <c r="C6" s="381" t="s">
        <v>857</v>
      </c>
      <c r="D6" s="106">
        <v>20</v>
      </c>
      <c r="E6" s="106">
        <v>20</v>
      </c>
      <c r="F6" s="107" t="s">
        <v>864</v>
      </c>
    </row>
    <row r="7" spans="2:6" x14ac:dyDescent="0.3">
      <c r="B7" s="379"/>
      <c r="C7" s="382"/>
      <c r="D7" s="108">
        <v>252</v>
      </c>
      <c r="E7" s="108">
        <v>20</v>
      </c>
      <c r="F7" s="109" t="s">
        <v>872</v>
      </c>
    </row>
    <row r="8" spans="2:6" ht="14.4" customHeight="1" x14ac:dyDescent="0.3">
      <c r="B8" s="379"/>
      <c r="C8" s="382"/>
      <c r="D8" s="108">
        <v>27</v>
      </c>
      <c r="E8" s="108">
        <v>20</v>
      </c>
      <c r="F8" s="109" t="s">
        <v>858</v>
      </c>
    </row>
    <row r="9" spans="2:6" x14ac:dyDescent="0.3">
      <c r="B9" s="379"/>
      <c r="C9" s="382"/>
      <c r="D9" s="108">
        <v>28</v>
      </c>
      <c r="E9" s="108">
        <v>20</v>
      </c>
      <c r="F9" s="109" t="s">
        <v>859</v>
      </c>
    </row>
    <row r="10" spans="2:6" x14ac:dyDescent="0.3">
      <c r="B10" s="379"/>
      <c r="C10" s="382"/>
      <c r="D10" s="108">
        <v>29</v>
      </c>
      <c r="E10" s="108">
        <v>20</v>
      </c>
      <c r="F10" s="109" t="s">
        <v>854</v>
      </c>
    </row>
    <row r="11" spans="2:6" x14ac:dyDescent="0.3">
      <c r="B11" s="379"/>
      <c r="C11" s="382"/>
      <c r="D11" s="108">
        <v>303</v>
      </c>
      <c r="E11" s="108">
        <v>20</v>
      </c>
      <c r="F11" s="109" t="s">
        <v>861</v>
      </c>
    </row>
    <row r="12" spans="2:6" x14ac:dyDescent="0.3">
      <c r="B12" s="379"/>
      <c r="C12" s="382"/>
      <c r="D12" s="108">
        <v>305</v>
      </c>
      <c r="E12" s="108">
        <v>20</v>
      </c>
      <c r="F12" s="109" t="s">
        <v>873</v>
      </c>
    </row>
    <row r="13" spans="2:6" x14ac:dyDescent="0.3">
      <c r="B13" s="379"/>
      <c r="C13" s="382"/>
      <c r="D13" s="108">
        <v>309</v>
      </c>
      <c r="E13" s="108">
        <v>20</v>
      </c>
      <c r="F13" s="109" t="s">
        <v>867</v>
      </c>
    </row>
    <row r="14" spans="2:6" ht="15" thickBot="1" x14ac:dyDescent="0.35">
      <c r="B14" s="388"/>
      <c r="C14" s="389"/>
      <c r="D14" s="110">
        <v>325</v>
      </c>
      <c r="E14" s="110">
        <v>20</v>
      </c>
      <c r="F14" s="111" t="s">
        <v>862</v>
      </c>
    </row>
    <row r="15" spans="2:6" ht="14.4" customHeight="1" x14ac:dyDescent="0.3">
      <c r="B15" s="390" t="s">
        <v>863</v>
      </c>
      <c r="C15" s="393" t="s">
        <v>874</v>
      </c>
      <c r="D15" s="100">
        <v>22</v>
      </c>
      <c r="E15" s="100">
        <v>15</v>
      </c>
      <c r="F15" s="101" t="s">
        <v>866</v>
      </c>
    </row>
    <row r="16" spans="2:6" ht="14.4" customHeight="1" x14ac:dyDescent="0.3">
      <c r="B16" s="391"/>
      <c r="C16" s="394"/>
      <c r="D16" s="102">
        <v>23</v>
      </c>
      <c r="E16" s="102">
        <v>15</v>
      </c>
      <c r="F16" s="103" t="s">
        <v>875</v>
      </c>
    </row>
    <row r="17" spans="2:6" x14ac:dyDescent="0.3">
      <c r="B17" s="391"/>
      <c r="C17" s="394"/>
      <c r="D17" s="102">
        <v>24</v>
      </c>
      <c r="E17" s="102">
        <v>15</v>
      </c>
      <c r="F17" s="103" t="s">
        <v>876</v>
      </c>
    </row>
    <row r="18" spans="2:6" x14ac:dyDescent="0.3">
      <c r="B18" s="391"/>
      <c r="C18" s="394"/>
      <c r="D18" s="102">
        <v>32</v>
      </c>
      <c r="E18" s="102">
        <v>15</v>
      </c>
      <c r="F18" s="103" t="s">
        <v>877</v>
      </c>
    </row>
    <row r="19" spans="2:6" ht="15" thickBot="1" x14ac:dyDescent="0.35">
      <c r="B19" s="392"/>
      <c r="C19" s="395"/>
      <c r="D19" s="104">
        <v>301</v>
      </c>
      <c r="E19" s="104">
        <v>15</v>
      </c>
      <c r="F19" s="105" t="s">
        <v>860</v>
      </c>
    </row>
    <row r="20" spans="2:6" ht="14.4" customHeight="1" x14ac:dyDescent="0.3">
      <c r="B20" s="378" t="s">
        <v>868</v>
      </c>
      <c r="C20" s="381" t="s">
        <v>879</v>
      </c>
      <c r="D20" s="106">
        <v>10</v>
      </c>
      <c r="E20" s="106">
        <v>10</v>
      </c>
      <c r="F20" s="107" t="s">
        <v>880</v>
      </c>
    </row>
    <row r="21" spans="2:6" x14ac:dyDescent="0.3">
      <c r="B21" s="379"/>
      <c r="C21" s="382"/>
      <c r="D21" s="108">
        <v>11</v>
      </c>
      <c r="E21" s="108">
        <v>10</v>
      </c>
      <c r="F21" s="109" t="s">
        <v>881</v>
      </c>
    </row>
    <row r="22" spans="2:6" ht="14.4" customHeight="1" x14ac:dyDescent="0.3">
      <c r="B22" s="379"/>
      <c r="C22" s="382"/>
      <c r="D22" s="108">
        <v>12</v>
      </c>
      <c r="E22" s="108">
        <v>10</v>
      </c>
      <c r="F22" s="109" t="s">
        <v>882</v>
      </c>
    </row>
    <row r="23" spans="2:6" x14ac:dyDescent="0.3">
      <c r="B23" s="379"/>
      <c r="C23" s="382"/>
      <c r="D23" s="108">
        <v>13</v>
      </c>
      <c r="E23" s="108">
        <v>10</v>
      </c>
      <c r="F23" s="109" t="s">
        <v>883</v>
      </c>
    </row>
    <row r="24" spans="2:6" x14ac:dyDescent="0.3">
      <c r="B24" s="379"/>
      <c r="C24" s="382"/>
      <c r="D24" s="108">
        <v>14</v>
      </c>
      <c r="E24" s="108">
        <v>10</v>
      </c>
      <c r="F24" s="109" t="s">
        <v>884</v>
      </c>
    </row>
    <row r="25" spans="2:6" x14ac:dyDescent="0.3">
      <c r="B25" s="379"/>
      <c r="C25" s="382"/>
      <c r="D25" s="108">
        <v>15</v>
      </c>
      <c r="E25" s="108">
        <v>10</v>
      </c>
      <c r="F25" s="109" t="s">
        <v>885</v>
      </c>
    </row>
    <row r="26" spans="2:6" x14ac:dyDescent="0.3">
      <c r="B26" s="379"/>
      <c r="C26" s="382"/>
      <c r="D26" s="108">
        <v>16</v>
      </c>
      <c r="E26" s="108">
        <v>10</v>
      </c>
      <c r="F26" s="109" t="s">
        <v>886</v>
      </c>
    </row>
    <row r="27" spans="2:6" x14ac:dyDescent="0.3">
      <c r="B27" s="379"/>
      <c r="C27" s="382"/>
      <c r="D27" s="108">
        <v>17</v>
      </c>
      <c r="E27" s="108">
        <v>10</v>
      </c>
      <c r="F27" s="109" t="s">
        <v>887</v>
      </c>
    </row>
    <row r="28" spans="2:6" x14ac:dyDescent="0.3">
      <c r="B28" s="379"/>
      <c r="C28" s="382"/>
      <c r="D28" s="108">
        <v>19</v>
      </c>
      <c r="E28" s="108">
        <v>10</v>
      </c>
      <c r="F28" s="109" t="s">
        <v>888</v>
      </c>
    </row>
    <row r="29" spans="2:6" ht="14.4" customHeight="1" x14ac:dyDescent="0.3">
      <c r="B29" s="379"/>
      <c r="C29" s="382"/>
      <c r="D29" s="108">
        <v>25</v>
      </c>
      <c r="E29" s="108">
        <v>10</v>
      </c>
      <c r="F29" s="109" t="s">
        <v>889</v>
      </c>
    </row>
    <row r="30" spans="2:6" ht="15" thickBot="1" x14ac:dyDescent="0.35">
      <c r="B30" s="380"/>
      <c r="C30" s="383"/>
      <c r="D30" s="112">
        <v>31</v>
      </c>
      <c r="E30" s="112">
        <v>10</v>
      </c>
      <c r="F30" s="113" t="s">
        <v>890</v>
      </c>
    </row>
    <row r="31" spans="2:6" ht="15" thickBot="1" x14ac:dyDescent="0.35">
      <c r="B31" s="114" t="s">
        <v>878</v>
      </c>
      <c r="C31" s="115" t="s">
        <v>869</v>
      </c>
      <c r="D31" s="115" t="s">
        <v>870</v>
      </c>
      <c r="E31" s="115">
        <v>0</v>
      </c>
      <c r="F31" s="116" t="s">
        <v>871</v>
      </c>
    </row>
    <row r="32" spans="2:6" ht="15" thickBot="1" x14ac:dyDescent="0.35"/>
    <row r="33" spans="2:6" ht="29.4" thickBot="1" x14ac:dyDescent="0.35">
      <c r="B33" s="117" t="s">
        <v>851</v>
      </c>
      <c r="C33" s="118" t="s">
        <v>852</v>
      </c>
      <c r="D33" s="118">
        <v>29</v>
      </c>
      <c r="E33" s="118">
        <v>25</v>
      </c>
      <c r="F33" s="119" t="s">
        <v>1520</v>
      </c>
    </row>
  </sheetData>
  <sheetProtection algorithmName="SHA-512" hashValue="sxG8gqoR1ugSJjYLtHT4RbD9xkk6h14MR7vCqxxsYCSg9Ne0ZnJ8uNUE4oofRfmWZD0YqYZ51OwqRY9z2pzfJw==" saltValue="+9PFIyNcZ7oPTB0/WVoz8A==" spinCount="100000" sheet="1" objects="1" scenarios="1"/>
  <mergeCells count="8">
    <mergeCell ref="B20:B30"/>
    <mergeCell ref="C20:C30"/>
    <mergeCell ref="B3:B5"/>
    <mergeCell ref="C3:C5"/>
    <mergeCell ref="B6:B14"/>
    <mergeCell ref="C6:C14"/>
    <mergeCell ref="B15:B19"/>
    <mergeCell ref="C15:C1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B1:H9"/>
  <sheetViews>
    <sheetView workbookViewId="0">
      <selection activeCell="H5" sqref="H5"/>
    </sheetView>
  </sheetViews>
  <sheetFormatPr defaultColWidth="8.88671875" defaultRowHeight="14.4" x14ac:dyDescent="0.3"/>
  <cols>
    <col min="1" max="1" width="3.88671875" style="96" customWidth="1"/>
    <col min="2" max="2" width="30.6640625" style="96" customWidth="1"/>
    <col min="3" max="3" width="22.33203125" style="96" customWidth="1"/>
    <col min="4" max="4" width="11.88671875" style="96" customWidth="1"/>
    <col min="5" max="5" width="13.33203125" style="96" customWidth="1"/>
    <col min="6" max="6" width="16.88671875" style="96" customWidth="1"/>
    <col min="7" max="7" width="13.44140625" style="96" customWidth="1"/>
    <col min="8" max="8" width="21.33203125" style="96" bestFit="1" customWidth="1"/>
    <col min="9" max="16384" width="8.88671875" style="96"/>
  </cols>
  <sheetData>
    <row r="1" spans="2:8" ht="15" thickBot="1" x14ac:dyDescent="0.35"/>
    <row r="2" spans="2:8" ht="15" thickBot="1" x14ac:dyDescent="0.35">
      <c r="B2" s="120" t="s">
        <v>1523</v>
      </c>
      <c r="C2" s="121" t="s">
        <v>1524</v>
      </c>
      <c r="D2" s="121" t="s">
        <v>1526</v>
      </c>
      <c r="E2" s="122" t="s">
        <v>1528</v>
      </c>
      <c r="F2" s="123" t="s">
        <v>1529</v>
      </c>
      <c r="G2" s="124" t="s">
        <v>1530</v>
      </c>
      <c r="H2" s="125" t="s">
        <v>1490</v>
      </c>
    </row>
    <row r="3" spans="2:8" x14ac:dyDescent="0.3">
      <c r="B3" s="126" t="str">
        <f>Simulação!F22</f>
        <v>Selecione</v>
      </c>
      <c r="C3" s="127">
        <f>Simulação!I22</f>
        <v>0</v>
      </c>
      <c r="D3" s="128" t="str">
        <f>IF(C3=0,"",C3/$C$9)</f>
        <v/>
      </c>
      <c r="E3" s="129" t="str">
        <f>IF(B3="Selecione","",IF(C3=0,"",IF(D3=0,"",D3*VLOOKUP(B3,'Idese-Corede'!$B$4:$F$500,5,0))))</f>
        <v/>
      </c>
      <c r="F3" s="130" t="str">
        <f>IF(B3="Selecione","",IF(VLOOKUP(B3,'Idese-Corede'!$B$4:$E$500,2,0)&lt;'Idese-Corede'!$K$4,"Sim","Não"))</f>
        <v/>
      </c>
      <c r="G3" s="131" t="str">
        <f>IF(B3="Selecione","",IF(VLOOKUP(B3,'Idese-Corede'!$B$4:$E$500,4,0)&lt;'Idese-Corede'!$K$4,"Sim","Não"))</f>
        <v/>
      </c>
      <c r="H3" s="132" t="str">
        <f>IF(B3="Selecione","",IF(VLOOKUP(B3,'Idese-Corede'!$B$4:$G$500,6,0)&lt;&gt;"","Sim","Não"))</f>
        <v/>
      </c>
    </row>
    <row r="4" spans="2:8" x14ac:dyDescent="0.3">
      <c r="B4" s="126" t="str">
        <f>Simulação!F24</f>
        <v>Selecione</v>
      </c>
      <c r="C4" s="127">
        <f>Simulação!I24</f>
        <v>0</v>
      </c>
      <c r="D4" s="128" t="str">
        <f t="shared" ref="D4:D8" si="0">IF(C4=0,"",C4/$C$9)</f>
        <v/>
      </c>
      <c r="E4" s="129" t="str">
        <f>IF(B4="Selecione","",IF(C4=0,"",IF(D4=0,"",D4*VLOOKUP(B4,'Idese-Corede'!$B$4:$F$500,5,0))))</f>
        <v/>
      </c>
      <c r="F4" s="133" t="str">
        <f>IF(B4="Selecione","",IF(VLOOKUP(B4,'Idese-Corede'!$B$4:$E$500,2,0)&lt;'Idese-Corede'!$K$4,"Sim","Não"))</f>
        <v/>
      </c>
      <c r="G4" s="134" t="str">
        <f>IF(B4="Selecione","",IF(VLOOKUP(B4,'Idese-Corede'!$B$4:$E$500,4,0)&lt;'Idese-Corede'!$K$4,"Sim","Não"))</f>
        <v/>
      </c>
      <c r="H4" s="135" t="str">
        <f>IF(B4="Selecione","",IF(VLOOKUP(B4,'Idese-Corede'!$B$4:$G$500,6,0)&lt;&gt;"","Sim","Não"))</f>
        <v/>
      </c>
    </row>
    <row r="5" spans="2:8" x14ac:dyDescent="0.3">
      <c r="B5" s="126" t="str">
        <f>Simulação!F26</f>
        <v>Selecione</v>
      </c>
      <c r="C5" s="127">
        <f>Simulação!I26</f>
        <v>0</v>
      </c>
      <c r="D5" s="128" t="str">
        <f t="shared" si="0"/>
        <v/>
      </c>
      <c r="E5" s="129" t="str">
        <f>IF(B5="Selecione","",IF(C5=0,"",IF(D5=0,"",D5*VLOOKUP(B5,'Idese-Corede'!$B$4:$F$500,5,0))))</f>
        <v/>
      </c>
      <c r="F5" s="133" t="str">
        <f>IF(B5="Selecione","",IF(VLOOKUP(B5,'Idese-Corede'!$B$4:$E$500,2,0)&lt;'Idese-Corede'!$K$4,"Sim","Não"))</f>
        <v/>
      </c>
      <c r="G5" s="134" t="str">
        <f>IF(B5="Selecione","",IF(VLOOKUP(B5,'Idese-Corede'!$B$4:$E$500,4,0)&lt;'Idese-Corede'!$K$4,"Sim","Não"))</f>
        <v/>
      </c>
      <c r="H5" s="135" t="str">
        <f>IF(B5="Selecione","",IF(VLOOKUP(B5,'Idese-Corede'!$B$4:$G$500,6,0)&lt;&gt;"","Sim","Não"))</f>
        <v/>
      </c>
    </row>
    <row r="6" spans="2:8" x14ac:dyDescent="0.3">
      <c r="B6" s="126" t="str">
        <f>Simulação!F28</f>
        <v>Selecione</v>
      </c>
      <c r="C6" s="127">
        <f>Simulação!I28</f>
        <v>0</v>
      </c>
      <c r="D6" s="128" t="str">
        <f t="shared" si="0"/>
        <v/>
      </c>
      <c r="E6" s="129" t="str">
        <f>IF(B6="Selecione","",IF(C6=0,"",IF(D6=0,"",D6*VLOOKUP(B6,'Idese-Corede'!$B$4:$F$500,5,0))))</f>
        <v/>
      </c>
      <c r="F6" s="133" t="str">
        <f>IF(B6="Selecione","",IF(VLOOKUP(B6,'Idese-Corede'!$B$4:$E$500,2,0)&lt;'Idese-Corede'!$K$4,"Sim","Não"))</f>
        <v/>
      </c>
      <c r="G6" s="134" t="str">
        <f>IF(B6="Selecione","",IF(VLOOKUP(B6,'Idese-Corede'!$B$4:$E$500,4,0)&lt;'Idese-Corede'!$K$4,"Sim","Não"))</f>
        <v/>
      </c>
      <c r="H6" s="135" t="str">
        <f>IF(B6="Selecione","",IF(VLOOKUP(B6,'Idese-Corede'!$B$4:$G$500,6,0)&lt;&gt;"","Sim","Não"))</f>
        <v/>
      </c>
    </row>
    <row r="7" spans="2:8" x14ac:dyDescent="0.3">
      <c r="B7" s="126" t="str">
        <f>Simulação!F30</f>
        <v>Selecione</v>
      </c>
      <c r="C7" s="127">
        <f>Simulação!I30</f>
        <v>0</v>
      </c>
      <c r="D7" s="128" t="str">
        <f t="shared" si="0"/>
        <v/>
      </c>
      <c r="E7" s="129" t="str">
        <f>IF(B7="Selecione","",IF(C7=0,"",IF(D7=0,"",D7*VLOOKUP(B7,'Idese-Corede'!$B$4:$F$500,5,0))))</f>
        <v/>
      </c>
      <c r="F7" s="133" t="str">
        <f>IF(B7="Selecione","",IF(VLOOKUP(B7,'Idese-Corede'!$B$4:$E$500,2,0)&lt;'Idese-Corede'!$K$4,"Sim","Não"))</f>
        <v/>
      </c>
      <c r="G7" s="134" t="str">
        <f>IF(B7="Selecione","",IF(VLOOKUP(B7,'Idese-Corede'!$B$4:$E$500,4,0)&lt;'Idese-Corede'!$K$4,"Sim","Não"))</f>
        <v/>
      </c>
      <c r="H7" s="135" t="str">
        <f>IF(B7="Selecione","",IF(VLOOKUP(B7,'Idese-Corede'!$B$4:$G$500,6,0)&lt;&gt;"","Sim","Não"))</f>
        <v/>
      </c>
    </row>
    <row r="8" spans="2:8" ht="15" thickBot="1" x14ac:dyDescent="0.35">
      <c r="B8" s="126" t="str">
        <f>Simulação!F32</f>
        <v>Selecione</v>
      </c>
      <c r="C8" s="127">
        <f>Simulação!I32</f>
        <v>0</v>
      </c>
      <c r="D8" s="128" t="str">
        <f t="shared" si="0"/>
        <v/>
      </c>
      <c r="E8" s="129" t="str">
        <f>IF(B8="Selecione","",IF(C8=0,"",IF(D8=0,"",D8*VLOOKUP(B8,'Idese-Corede'!$B$4:$F$500,5,0))))</f>
        <v/>
      </c>
      <c r="F8" s="136" t="str">
        <f>IF(B8="Selecione","",IF(VLOOKUP(B8,'Idese-Corede'!$B$4:$E$500,2,0)&lt;'Idese-Corede'!$K$4,"Sim","Não"))</f>
        <v/>
      </c>
      <c r="G8" s="137" t="str">
        <f>IF(B8="Selecione","",IF(VLOOKUP(B8,'Idese-Corede'!$B$4:$E$500,4,0)&lt;'Idese-Corede'!$K$4,"Sim","Não"))</f>
        <v/>
      </c>
      <c r="H8" s="138" t="str">
        <f>IF(B8="Selecione","",IF(VLOOKUP(B8,'Idese-Corede'!$B$4:$G$500,6,0)&lt;&gt;"","Sim","Não"))</f>
        <v/>
      </c>
    </row>
    <row r="9" spans="2:8" ht="15" thickBot="1" x14ac:dyDescent="0.35">
      <c r="B9" s="139" t="s">
        <v>1525</v>
      </c>
      <c r="C9" s="140">
        <f>SUM(C3:C8)</f>
        <v>0</v>
      </c>
      <c r="D9" s="141">
        <f>SUM(D3:D8)</f>
        <v>0</v>
      </c>
      <c r="E9" s="142">
        <f>SUM(E3:E8)</f>
        <v>0</v>
      </c>
    </row>
  </sheetData>
  <sheetProtection algorithmName="SHA-512" hashValue="3Yk8nOXCFN+t2hbzvbwAswr61Vqm9mkyVYrRBznDEJlL0EuXZ+sosAVpB10V47jIwhFTm1cpPnDcImp8ReKG8Q==" saltValue="b/gML6SsiXX9IE+SC8l7SQ==" spinCount="100000" sheet="1" objects="1" scenarios="1"/>
  <conditionalFormatting sqref="F3:F8">
    <cfRule type="cellIs" dxfId="6" priority="3" operator="equal">
      <formula>"Não"</formula>
    </cfRule>
    <cfRule type="cellIs" dxfId="5" priority="4" operator="equal">
      <formula>"Sim"</formula>
    </cfRule>
  </conditionalFormatting>
  <conditionalFormatting sqref="G3:G8">
    <cfRule type="cellIs" dxfId="4" priority="1" operator="equal">
      <formula>"Não"</formula>
    </cfRule>
    <cfRule type="cellIs" dxfId="3" priority="2" operator="equal">
      <formula>"Sim"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B1:G19"/>
  <sheetViews>
    <sheetView workbookViewId="0">
      <selection activeCell="G13" sqref="G13"/>
    </sheetView>
  </sheetViews>
  <sheetFormatPr defaultColWidth="8.88671875" defaultRowHeight="14.4" x14ac:dyDescent="0.3"/>
  <cols>
    <col min="1" max="1" width="4" style="96" customWidth="1"/>
    <col min="2" max="2" width="10.33203125" style="96" bestFit="1" customWidth="1"/>
    <col min="3" max="4" width="14.6640625" style="96" customWidth="1"/>
    <col min="5" max="5" width="8.88671875" style="96"/>
    <col min="6" max="6" width="12" style="96" customWidth="1"/>
    <col min="7" max="7" width="18.5546875" style="96" bestFit="1" customWidth="1"/>
    <col min="8" max="16384" width="8.88671875" style="96"/>
  </cols>
  <sheetData>
    <row r="1" spans="2:7" ht="15" thickBot="1" x14ac:dyDescent="0.35"/>
    <row r="2" spans="2:7" x14ac:dyDescent="0.3">
      <c r="B2" s="398" t="s">
        <v>1491</v>
      </c>
      <c r="C2" s="396" t="s">
        <v>1492</v>
      </c>
      <c r="D2" s="397"/>
      <c r="F2" s="143" t="s">
        <v>1491</v>
      </c>
      <c r="G2" s="143" t="s">
        <v>1497</v>
      </c>
    </row>
    <row r="3" spans="2:7" ht="15" thickBot="1" x14ac:dyDescent="0.35">
      <c r="B3" s="399"/>
      <c r="C3" s="144" t="s">
        <v>1493</v>
      </c>
      <c r="D3" s="145" t="s">
        <v>1494</v>
      </c>
      <c r="F3" s="146">
        <v>2</v>
      </c>
      <c r="G3" s="146" t="str">
        <f>IF(Simulação!P37=0,"",IF('Faixas e condições'!D25="Sim",ROUNDUP(0.3*G16,0)+'Faixas e condições'!C24,ROUNDUP(0.3*G16,0)))</f>
        <v/>
      </c>
    </row>
    <row r="4" spans="2:7" x14ac:dyDescent="0.3">
      <c r="B4" s="146">
        <v>2</v>
      </c>
      <c r="C4" s="147">
        <f>2*F19</f>
        <v>2200</v>
      </c>
      <c r="D4" s="148">
        <f>2.5*F19</f>
        <v>2750</v>
      </c>
      <c r="F4" s="149">
        <v>4</v>
      </c>
      <c r="G4" s="149" t="str">
        <f>IF(Simulação!P37=0,"",IF('Faixas e condições'!D25="Sim",ROUNDUP(0.6*G16,0)+'Faixas e condições'!C24,ROUNDUP(0.6*G16,0)))</f>
        <v/>
      </c>
    </row>
    <row r="5" spans="2:7" x14ac:dyDescent="0.3">
      <c r="B5" s="149">
        <v>4</v>
      </c>
      <c r="C5" s="150">
        <f>2.5*F19</f>
        <v>2750</v>
      </c>
      <c r="D5" s="151">
        <f>3*F19</f>
        <v>3300</v>
      </c>
      <c r="F5" s="149">
        <v>6</v>
      </c>
      <c r="G5" s="149" t="str">
        <f>IF(Simulação!P37=0,"",IF('Faixas e condições'!D25="Sim",ROUNDUP(1*G16,0)+'Faixas e condições'!C24,ROUNDUP(1*G16,0)))</f>
        <v/>
      </c>
    </row>
    <row r="6" spans="2:7" x14ac:dyDescent="0.3">
      <c r="B6" s="149">
        <v>6</v>
      </c>
      <c r="C6" s="150">
        <f>3*F19</f>
        <v>3300</v>
      </c>
      <c r="D6" s="151">
        <f>3.5*F19</f>
        <v>3850</v>
      </c>
      <c r="F6" s="149">
        <v>8</v>
      </c>
      <c r="G6" s="149" t="str">
        <f>IF(Simulação!P37=0,"",IF('Faixas e condições'!D25="Sim",ROUNDUP(1.5*G16,0)+'Faixas e condições'!C24,ROUNDUP(1.5*G16,0)))</f>
        <v/>
      </c>
    </row>
    <row r="7" spans="2:7" x14ac:dyDescent="0.3">
      <c r="B7" s="149">
        <v>8</v>
      </c>
      <c r="C7" s="150">
        <f>3.5*F19</f>
        <v>3850</v>
      </c>
      <c r="D7" s="151">
        <f>3.75*F19</f>
        <v>4125</v>
      </c>
      <c r="F7" s="149">
        <v>10</v>
      </c>
      <c r="G7" s="149" t="str">
        <f>IF(Simulação!P37=0,"",IF('Faixas e condições'!D25="Sim",ROUNDUP(2*G16,0)+'Faixas e condições'!C24,ROUNDUP(2*G16,0)))</f>
        <v/>
      </c>
    </row>
    <row r="8" spans="2:7" x14ac:dyDescent="0.3">
      <c r="B8" s="149">
        <v>10</v>
      </c>
      <c r="C8" s="150">
        <f>3.75*F19</f>
        <v>4125</v>
      </c>
      <c r="D8" s="151">
        <f>4*F19</f>
        <v>4400</v>
      </c>
      <c r="F8" s="149">
        <v>12</v>
      </c>
      <c r="G8" s="149" t="str">
        <f>IF(Simulação!P37=0,"",IF('Faixas e condições'!D25="Sim",ROUNDUP(2.5*G16,0)+'Faixas e condições'!C24,ROUNDUP(2.5*G16,0)))</f>
        <v/>
      </c>
    </row>
    <row r="9" spans="2:7" x14ac:dyDescent="0.3">
      <c r="B9" s="149">
        <v>12</v>
      </c>
      <c r="C9" s="150">
        <f>4*F19</f>
        <v>4400</v>
      </c>
      <c r="D9" s="151">
        <f>4.25*F19</f>
        <v>4675</v>
      </c>
      <c r="F9" s="149">
        <v>14</v>
      </c>
      <c r="G9" s="149" t="str">
        <f>IF(Simulação!P37=0,"",IF('Faixas e condições'!D25="Sim",ROUNDUP(3*G16,0)+'Faixas e condições'!C24,ROUNDUP(3*G16,0)))</f>
        <v/>
      </c>
    </row>
    <row r="10" spans="2:7" x14ac:dyDescent="0.3">
      <c r="B10" s="149">
        <v>14</v>
      </c>
      <c r="C10" s="150">
        <f>4.25*F19</f>
        <v>4675</v>
      </c>
      <c r="D10" s="151">
        <f>4.5*F19</f>
        <v>4950</v>
      </c>
      <c r="F10" s="149">
        <v>16</v>
      </c>
      <c r="G10" s="149" t="str">
        <f>IF(Simulação!P37=0,"",IF('Faixas e condições'!D25="Sim",ROUNDUP(4*G16,0)+'Faixas e condições'!C24,ROUNDUP(4*G16,0)))</f>
        <v/>
      </c>
    </row>
    <row r="11" spans="2:7" x14ac:dyDescent="0.3">
      <c r="B11" s="149">
        <v>16</v>
      </c>
      <c r="C11" s="150">
        <f>4.5*F19</f>
        <v>4950</v>
      </c>
      <c r="D11" s="151">
        <f>4.75*F19</f>
        <v>5225</v>
      </c>
      <c r="F11" s="149">
        <v>18</v>
      </c>
      <c r="G11" s="149" t="str">
        <f>IF(Simulação!P37=0,"",IF('Faixas e condições'!D25="Sim",ROUNDUP(5*G16,0)+'Faixas e condições'!C24,ROUNDUP(5*G16,0)))</f>
        <v/>
      </c>
    </row>
    <row r="12" spans="2:7" ht="15" thickBot="1" x14ac:dyDescent="0.35">
      <c r="B12" s="149">
        <v>18</v>
      </c>
      <c r="C12" s="150">
        <f>4.75*F19</f>
        <v>5225</v>
      </c>
      <c r="D12" s="151">
        <f>5*F19</f>
        <v>5500</v>
      </c>
      <c r="F12" s="152">
        <v>20</v>
      </c>
      <c r="G12" s="152" t="str">
        <f>IF(Simulação!P37=0,"",IF('Faixas e condições'!D25="Sim",ROUNDUP(6*G16,0)+'Faixas e condições'!C24,ROUNDUP(6*G16,0)))</f>
        <v/>
      </c>
    </row>
    <row r="13" spans="2:7" ht="15" thickBot="1" x14ac:dyDescent="0.35">
      <c r="B13" s="152">
        <v>20</v>
      </c>
      <c r="C13" s="153">
        <f>5*F19</f>
        <v>5500</v>
      </c>
      <c r="D13" s="154"/>
    </row>
    <row r="15" spans="2:7" ht="15" thickBot="1" x14ac:dyDescent="0.35"/>
    <row r="16" spans="2:7" ht="15" thickBot="1" x14ac:dyDescent="0.35">
      <c r="B16" s="400" t="s">
        <v>1495</v>
      </c>
      <c r="C16" s="401"/>
      <c r="D16" s="155" t="str">
        <f>IF(Simulação!N6=0,"",IF(AND(Simulação!N6&gt;='Salário x Empregos'!C4,Simulação!N6&lt;'Salário x Empregos'!D4),'Salário x Empregos'!B4,IF(AND(Simulação!N6&gt;='Salário x Empregos'!C5,Simulação!N6&lt;'Salário x Empregos'!D5),'Salário x Empregos'!B5,IF(AND(Simulação!N6&gt;='Salário x Empregos'!C6,Simulação!N6&lt;'Salário x Empregos'!D6),'Salário x Empregos'!B6,IF(AND(Simulação!N6&gt;='Salário x Empregos'!C7,Simulação!N6&lt;'Salário x Empregos'!D7),'Salário x Empregos'!B7,IF(AND(Simulação!N6&gt;='Salário x Empregos'!C8,Simulação!N6&lt;'Salário x Empregos'!D8),'Salário x Empregos'!B8,IF(AND(Simulação!N6&gt;='Salário x Empregos'!C9,Simulação!N6&lt;'Salário x Empregos'!D9),'Salário x Empregos'!B9,IF(AND(Simulação!N6&gt;='Salário x Empregos'!C10,Simulação!N6&lt;'Salário x Empregos'!D10),'Salário x Empregos'!B10,IF(AND(Simulação!N6&gt;='Salário x Empregos'!C11,Simulação!N6&lt;'Salário x Empregos'!D11),'Salário x Empregos'!B11,IF(AND(Simulação!N6&gt;='Salário x Empregos'!C12,Simulação!N6&lt;'Salário x Empregos'!D12),'Salário x Empregos'!B12,IF(Simulação!N6&gt;=C13,'Salário x Empregos'!B13,0)))))))))))</f>
        <v/>
      </c>
      <c r="F16" s="156" t="s">
        <v>1536</v>
      </c>
      <c r="G16" s="157" t="str">
        <f>IF(Simulação!F16="Selecione","",IF(ROUNDDOWN((Simulação!F37/10000000)*VLOOKUP(Simulação!F16,CNAEs!$B$3:$E$402,4,0),0)&lt;1,1,ROUNDDOWN((Simulação!F37/10000000)*VLOOKUP(Simulação!F16,CNAEs!$B$3:$E$402,4,0),0)))</f>
        <v/>
      </c>
    </row>
    <row r="17" spans="2:7" ht="15" thickBot="1" x14ac:dyDescent="0.35"/>
    <row r="18" spans="2:7" ht="15" thickBot="1" x14ac:dyDescent="0.35">
      <c r="B18" s="400" t="s">
        <v>1498</v>
      </c>
      <c r="C18" s="401"/>
      <c r="D18" s="155" t="str">
        <f>IF(Simulação!P37=0,"",IF(AND(Simulação!P37&gt;='Salário x Empregos'!G3,Simulação!P37&lt;'Salário x Empregos'!G4),'Salário x Empregos'!F3,IF(AND(Simulação!P37&gt;='Salário x Empregos'!G4,Simulação!P37&lt;'Salário x Empregos'!G5),'Salário x Empregos'!F4,IF(AND(Simulação!P37&gt;='Salário x Empregos'!G5,Simulação!P37&lt;'Salário x Empregos'!G6),'Salário x Empregos'!F5,IF(AND(Simulação!P37&gt;='Salário x Empregos'!G6,Simulação!P37&lt;'Salário x Empregos'!G7),'Salário x Empregos'!F6,IF(AND(Simulação!P37&gt;='Salário x Empregos'!G7,Simulação!P37&lt;'Salário x Empregos'!G8),'Salário x Empregos'!F7,IF(AND(Simulação!P37&gt;='Salário x Empregos'!G8,Simulação!P37&lt;'Salário x Empregos'!G9),'Salário x Empregos'!F8,IF(AND(Simulação!P37&gt;='Salário x Empregos'!G9,Simulação!P37&lt;'Salário x Empregos'!G10),'Salário x Empregos'!F9,IF(AND(Simulação!P37&gt;='Salário x Empregos'!G10,Simulação!P37&lt;'Salário x Empregos'!G11),'Salário x Empregos'!F10,IF(AND(Simulação!P37&gt;='Salário x Empregos'!G11,Simulação!P37&lt;'Salário x Empregos'!G12),'Salário x Empregos'!F11,IF(Simulação!P37&gt;='Salário x Empregos'!G12,F12,0)))))))))))</f>
        <v/>
      </c>
      <c r="F18" s="158" t="s">
        <v>1518</v>
      </c>
      <c r="G18" s="159"/>
    </row>
    <row r="19" spans="2:7" ht="15" thickBot="1" x14ac:dyDescent="0.35">
      <c r="F19" s="402">
        <v>1100</v>
      </c>
      <c r="G19" s="403"/>
    </row>
  </sheetData>
  <sheetProtection algorithmName="SHA-512" hashValue="LapDoGZji9VMNaosLhZKMnfomj1hA88AORBYzkuxrrRdZrNv1tIg5NVVtwHzqdqiozzyVGj9sduwkbhYvEoNqw==" saltValue="d7KkYy0XKmb6E3uFcCnBUw==" spinCount="100000" sheet="1" objects="1" scenarios="1"/>
  <mergeCells count="5">
    <mergeCell ref="C2:D2"/>
    <mergeCell ref="B2:B3"/>
    <mergeCell ref="B16:C16"/>
    <mergeCell ref="B18:C18"/>
    <mergeCell ref="F19:G19"/>
  </mergeCells>
  <dataValidations disablePrompts="1" count="1">
    <dataValidation allowBlank="1" showInputMessage="1" showErrorMessage="1" prompt="Digite apenas números. Exemplo: 8, 15, 100" sqref="F19"/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B2:C7"/>
  <sheetViews>
    <sheetView workbookViewId="0">
      <selection activeCell="C5" sqref="C5"/>
    </sheetView>
  </sheetViews>
  <sheetFormatPr defaultColWidth="8.88671875" defaultRowHeight="14.4" x14ac:dyDescent="0.3"/>
  <cols>
    <col min="1" max="1" width="3.33203125" style="96" customWidth="1"/>
    <col min="2" max="2" width="45.33203125" style="96" bestFit="1" customWidth="1"/>
    <col min="3" max="16384" width="8.88671875" style="96"/>
  </cols>
  <sheetData>
    <row r="2" spans="2:3" x14ac:dyDescent="0.3">
      <c r="B2" s="160" t="s">
        <v>898</v>
      </c>
      <c r="C2" s="160">
        <v>0</v>
      </c>
    </row>
    <row r="3" spans="2:3" x14ac:dyDescent="0.3">
      <c r="B3" s="160" t="s">
        <v>899</v>
      </c>
      <c r="C3" s="160">
        <v>5</v>
      </c>
    </row>
    <row r="4" spans="2:3" x14ac:dyDescent="0.3">
      <c r="B4" s="160" t="s">
        <v>900</v>
      </c>
      <c r="C4" s="160">
        <v>4</v>
      </c>
    </row>
    <row r="5" spans="2:3" x14ac:dyDescent="0.3">
      <c r="B5" s="160" t="s">
        <v>901</v>
      </c>
      <c r="C5" s="160">
        <v>3</v>
      </c>
    </row>
    <row r="7" spans="2:3" x14ac:dyDescent="0.3">
      <c r="B7" s="160" t="s">
        <v>903</v>
      </c>
      <c r="C7" s="160" t="str">
        <f>IF(Simulação!F37=0,"",Simulação!N28/Simulação!F37)</f>
        <v/>
      </c>
    </row>
  </sheetData>
  <sheetProtection algorithmName="SHA-512" hashValue="kj2Hv/9RZk2xCRzBWzjPGn58aHv1ym0SpvZw4hLXHVQeEtOuT6lyOmpM4llkjTd4jCkEnGzav+4AtO0foSGi2A==" saltValue="cUZ4to3pgvePlxVlpV6ki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:B17"/>
  <sheetViews>
    <sheetView workbookViewId="0">
      <selection activeCell="B17" sqref="B17"/>
    </sheetView>
  </sheetViews>
  <sheetFormatPr defaultColWidth="8.88671875" defaultRowHeight="14.4" x14ac:dyDescent="0.3"/>
  <cols>
    <col min="1" max="16384" width="8.88671875" style="96"/>
  </cols>
  <sheetData>
    <row r="1" spans="1:2" x14ac:dyDescent="0.3">
      <c r="A1" s="162" t="s">
        <v>1521</v>
      </c>
    </row>
    <row r="2" spans="1:2" x14ac:dyDescent="0.3">
      <c r="A2" s="96">
        <v>1</v>
      </c>
      <c r="B2" s="167" t="str">
        <f>IF(Simulação!O77="","",IF(Simulação!F6="Selecione","",IF(AND(Simulação!F6="Sim",Simulação!O77&gt;=85),"",IF(AND(Simulação!F6="Não",Simulação!O77&gt;=75),"","* (A): O projeto poderá ter sua pontuação aumentada, limitada a "&amp;TEXT(IF(Simulação!F6="Sim",85,75),0)&amp;" pontos, na(s) seguinte(s) situação(ões):"))))</f>
        <v/>
      </c>
    </row>
    <row r="3" spans="1:2" x14ac:dyDescent="0.3">
      <c r="A3" s="96">
        <v>2</v>
      </c>
      <c r="B3" s="96" t="str">
        <f>IF(Simulação!O77="","",IF(Simulação!F6="Selecione","",IF(AND(Simulação!F6="Sim",Simulação!O77&gt;=85),"",IF(AND(Simulação!F6="Não",Simulação!O77&gt;=75),"","       - em até "&amp;TEXT(IF(AND(Simulação!F6="Sim",85-Simulação!O77&gt;15),15,IF(AND(Simulação!F6="Não",75-Simulação!O77&gt;15),15,IF(Simulação!F6="Sim",85-Simulação!O77,75-Simulação!O77))),0)&amp;" pontos percentuais em virtude da origem dos investimentos fixos nos termos do artigo 4º da Resolução Normativa nº 01 – FUNDOPEM/RS de 20/10/2021 e alterações."))))</f>
        <v/>
      </c>
    </row>
    <row r="4" spans="1:2" x14ac:dyDescent="0.3">
      <c r="A4" s="96">
        <v>3</v>
      </c>
      <c r="B4" s="96" t="str">
        <f>IF(Simulação!O77="","",IF(Simulação!F12="Selecione","",IF(Simulação!F6="Selecione","",IF(AND(Simulação!F6="Sim",Simulação!O77&gt;=85),"",IF(AND(Simulação!F6="Não",Simulação!O77&gt;=75),"",IF(Simulação!O64=25,CONCATENATE("       - em "&amp;TEXT(IF(AND(Simulação!F6="Sim",85-Simulação!O77&gt;10),10,IF(AND(Simulação!F6="Não",75-Simulação!O77&gt;10),10,IF(Simulação!F6="Sim",85-Simulação!O77,75-Simulação!O77))),0)&amp;" ",B5),""))))))</f>
        <v/>
      </c>
    </row>
    <row r="5" spans="1:2" x14ac:dyDescent="0.3">
      <c r="A5" s="96">
        <v>3.5</v>
      </c>
      <c r="B5" s="96" t="s">
        <v>1573</v>
      </c>
    </row>
    <row r="6" spans="1:2" x14ac:dyDescent="0.3">
      <c r="A6" s="96">
        <v>4</v>
      </c>
      <c r="B6" s="96" t="str">
        <f>CONCATENATE("Além do limite de "&amp;TEXT(IF(Simulação!F6="Sim",85,75),0)&amp;" ",B7)</f>
        <v>Além do limite de 75 pontos para enquadramento do projeto no Fundopem, o projeto poderá ter pontuação adicional de até 15 pontos percentuais em função da procedência dos insumos e serviços nos termos do artigo 5º da Resolução Normativa nº 01 – FUNDOPEM/RS de 20/10/2021 e alterações.</v>
      </c>
    </row>
    <row r="7" spans="1:2" x14ac:dyDescent="0.3">
      <c r="A7" s="96">
        <v>4.5</v>
      </c>
      <c r="B7" s="96" t="s">
        <v>1570</v>
      </c>
    </row>
    <row r="9" spans="1:2" x14ac:dyDescent="0.3">
      <c r="A9" s="162" t="s">
        <v>1522</v>
      </c>
    </row>
    <row r="10" spans="1:2" x14ac:dyDescent="0.3">
      <c r="A10" s="96">
        <v>1</v>
      </c>
      <c r="B10" s="96" t="str">
        <f>IF(Simulação!O96=90,"",IF(Simulação!O96="","",IF(AND(Simulação!O87=20,Simulação!F19&lt;&gt;"Implantação",Simulação!F12&lt;&gt;"Sim"),"","*(B): o percentual de abatimento do INTEGRAR/RS poderá aumentar, limitado a 90%, na(s) seguinte(s) situação(ões):")))</f>
        <v/>
      </c>
    </row>
    <row r="11" spans="1:2" x14ac:dyDescent="0.3">
      <c r="A11" s="96">
        <v>2</v>
      </c>
      <c r="B11" s="96" t="str">
        <f>IF(Simulação!O87="","",IF(Simulação!O96=90,"",IF(Simulação!O87=20,"",IF(Simulação!O96="","",IF(Simulação!F19="Implantação",B13,IF(AND(Simulação!O96&gt;=70,Simulação!O96&lt;90),"       - em até "&amp;TEXT(MIN(20-Simulação!O87,90-Simulação!O96),"0,00")&amp;" pontos percentuais de acordo com a efetiva quantidade de empregos diretos gerados ou pelo aumento da qualidade da massa salarial durante a fruição, nos termos do artigo 8º da Resolução Normativa nº 01 – FUNDOPEM/RS de 20/10/2021 e alterações.","       - em até "&amp;TEXT((20-Simulação!O87),"0,00")&amp;" pontos percentuais de acordo com a efetiva quantidade de empregos diretos gerados ou pelo aumento da qualidade da massa salarial durante a fruição, nos termos do artigo 8º da Resolução Normativa nº 01 – FUNDOPEM/RS de 20/10/2021 e alterações."))))))</f>
        <v/>
      </c>
    </row>
    <row r="12" spans="1:2" x14ac:dyDescent="0.3">
      <c r="A12" s="96">
        <v>2</v>
      </c>
      <c r="B12" s="96" t="str">
        <f>IF(Simulação!O87="","",IF(Simulação!O96=90,"",IF(Simulação!O87=20,"",IF(Simulação!O96="","",IF(Simulação!F19="Implantação",B13,IF(AND(Simulação!O96&gt;=70,Simulação!O96&lt;90),"       - em até "&amp;TEXT(MIN(20-Simulação!O87,90-Simulação!O96),"0,00")&amp;" pontos percentuais de acordo com a efetiva quantidade de empregos diretos gerados durante a fruição, nos termos do artigo 8º da Resolução Normativa nº 01 – FUNDOPEM/RS de 20/10/2021 e alterações.","       - em até "&amp;TEXT((20-Simulação!O88),"0,00")&amp;" pontos percentuais de acordo com a efetiva quantidade de empregos diretos gerados durante a fruição, nos termos do artigo 8º da Resolução Normativa nº 01 – FUNDOPEM/RS de 20/10/2021 e alterações."))))))</f>
        <v/>
      </c>
    </row>
    <row r="13" spans="1:2" x14ac:dyDescent="0.3">
      <c r="B13" s="227" t="str">
        <f>CONCATENATE("       - em até ",TEXT(IF(Simulação!O96="","",IF(Simulação!O96&lt;=70,20,20-(Simulação!O96-70))),"0,00")," pontos percentuais de acordo com a efetiva quantidade de empregos diretos gerados",IF('Faixas e condições'!D25="Não"," ou pelo aumento da qualidade da massa salarial","")," após a implantação do projeto, nos termos do artigo 8º da Resolução Normativa nº 01 – FUNDOPEM/RS de 20/10/2021 e alterações.")</f>
        <v xml:space="preserve">       - em até  pontos percentuais de acordo com a efetiva quantidade de empregos diretos gerados ou pelo aumento da qualidade da massa salarial após a implantação do projeto, nos termos do artigo 8º da Resolução Normativa nº 01 – FUNDOPEM/RS de 20/10/2021 e alterações.</v>
      </c>
    </row>
    <row r="14" spans="1:2" x14ac:dyDescent="0.3">
      <c r="A14" s="96">
        <v>3</v>
      </c>
      <c r="B14" s="96" t="str">
        <f>IF(Simulação!O93="","",IF(Simulação!O96=90,"",IF(Simulação!O96="","",IF('Faixas e condições'!D25="Sim","",IF(AND(Simulação!F19="Implantação",Simulação!O96&lt;90),"       - em até "&amp;TEXT(IF(Simulação!O96&lt;=82,8,90-Simulação!O96),"0,00")&amp;" pontos percentuais de acordo com as políticas de impacto ambiental adotadas após a implementação do projeto, nos termos do item IV do artigo 8º da Resolução Normativa nº 01 – FUNDOPEM/RS de 20/10/2021 e alterações.","")))))</f>
        <v/>
      </c>
    </row>
    <row r="15" spans="1:2" x14ac:dyDescent="0.3">
      <c r="A15" s="96">
        <v>4</v>
      </c>
      <c r="B15" s="96" t="str">
        <f>IF(Simulação!O89="","",IF(Simulação!O96=90,"",IF('Faixas e condições'!D25="Sim","",IF(AND(Simulação!O64=25,Simulação!O96&lt;90),CONCATENATE("       - em "&amp;TEXT(IF(Simulação!O96&lt;=87,3,90-Simulação!O96),"0,00")&amp;" ",B16),""))))</f>
        <v/>
      </c>
    </row>
    <row r="16" spans="1:2" x14ac:dyDescent="0.3">
      <c r="A16" s="96">
        <v>4.5</v>
      </c>
      <c r="B16" s="96" t="s">
        <v>1571</v>
      </c>
    </row>
    <row r="17" spans="2:2" x14ac:dyDescent="0.3">
      <c r="B17" s="96" t="s">
        <v>1582</v>
      </c>
    </row>
  </sheetData>
  <sheetProtection password="F781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B1:J28"/>
  <sheetViews>
    <sheetView workbookViewId="0">
      <selection activeCell="D25" sqref="D25"/>
    </sheetView>
  </sheetViews>
  <sheetFormatPr defaultRowHeight="14.4" x14ac:dyDescent="0.3"/>
  <cols>
    <col min="1" max="1" width="3.44140625" customWidth="1"/>
    <col min="2" max="2" width="11.109375" bestFit="1" customWidth="1"/>
    <col min="3" max="3" width="17" customWidth="1"/>
    <col min="5" max="5" width="10" bestFit="1" customWidth="1"/>
    <col min="10" max="10" width="12.6640625" customWidth="1"/>
  </cols>
  <sheetData>
    <row r="1" spans="2:10" ht="15" thickBot="1" x14ac:dyDescent="0.35"/>
    <row r="2" spans="2:10" ht="15" customHeight="1" x14ac:dyDescent="0.3">
      <c r="B2" s="405" t="s">
        <v>1491</v>
      </c>
      <c r="C2" s="407" t="s">
        <v>1499</v>
      </c>
      <c r="D2" s="409" t="s">
        <v>1500</v>
      </c>
      <c r="E2" s="413" t="s">
        <v>1501</v>
      </c>
      <c r="F2" s="414"/>
      <c r="G2" s="415"/>
      <c r="H2" s="411" t="s">
        <v>1502</v>
      </c>
      <c r="I2" s="411"/>
      <c r="J2" s="412"/>
    </row>
    <row r="3" spans="2:10" x14ac:dyDescent="0.3">
      <c r="B3" s="406"/>
      <c r="C3" s="408"/>
      <c r="D3" s="410"/>
      <c r="E3" s="4" t="s">
        <v>1503</v>
      </c>
      <c r="F3" s="4" t="s">
        <v>19</v>
      </c>
      <c r="G3" s="4" t="s">
        <v>1504</v>
      </c>
      <c r="H3" s="4" t="s">
        <v>1505</v>
      </c>
      <c r="I3" s="4" t="s">
        <v>1506</v>
      </c>
      <c r="J3" s="5" t="s">
        <v>1507</v>
      </c>
    </row>
    <row r="4" spans="2:10" x14ac:dyDescent="0.3">
      <c r="B4" s="6">
        <v>40</v>
      </c>
      <c r="C4" s="2">
        <f>B4/100</f>
        <v>0.4</v>
      </c>
      <c r="D4" s="1" t="s">
        <v>1508</v>
      </c>
      <c r="E4" s="3">
        <v>1.5</v>
      </c>
      <c r="F4" s="3">
        <v>1.75</v>
      </c>
      <c r="G4" s="3">
        <v>2</v>
      </c>
      <c r="H4" s="1">
        <v>78</v>
      </c>
      <c r="I4" s="1">
        <v>48</v>
      </c>
      <c r="J4" s="7">
        <v>78</v>
      </c>
    </row>
    <row r="5" spans="2:10" x14ac:dyDescent="0.3">
      <c r="B5" s="6">
        <v>55</v>
      </c>
      <c r="C5" s="2">
        <f t="shared" ref="C5:C8" si="0">B5/100</f>
        <v>0.55000000000000004</v>
      </c>
      <c r="D5" s="1" t="s">
        <v>1509</v>
      </c>
      <c r="E5" s="3">
        <v>1</v>
      </c>
      <c r="F5" s="3">
        <v>1.5</v>
      </c>
      <c r="G5" s="3">
        <v>1.75</v>
      </c>
      <c r="H5" s="1">
        <v>84</v>
      </c>
      <c r="I5" s="1">
        <v>54</v>
      </c>
      <c r="J5" s="7">
        <v>84</v>
      </c>
    </row>
    <row r="6" spans="2:10" x14ac:dyDescent="0.3">
      <c r="B6" s="6">
        <v>70</v>
      </c>
      <c r="C6" s="2">
        <f t="shared" si="0"/>
        <v>0.7</v>
      </c>
      <c r="D6" s="1" t="s">
        <v>1510</v>
      </c>
      <c r="E6" s="3">
        <v>0.5</v>
      </c>
      <c r="F6" s="3">
        <v>1</v>
      </c>
      <c r="G6" s="3">
        <v>1.5</v>
      </c>
      <c r="H6" s="1">
        <v>90</v>
      </c>
      <c r="I6" s="1">
        <v>60</v>
      </c>
      <c r="J6" s="7">
        <v>90</v>
      </c>
    </row>
    <row r="7" spans="2:10" x14ac:dyDescent="0.3">
      <c r="B7" s="6">
        <v>85</v>
      </c>
      <c r="C7" s="2">
        <f t="shared" si="0"/>
        <v>0.85</v>
      </c>
      <c r="D7" s="1" t="s">
        <v>1511</v>
      </c>
      <c r="E7" s="3">
        <v>0.25</v>
      </c>
      <c r="F7" s="3">
        <v>0.75</v>
      </c>
      <c r="G7" s="3">
        <v>1.25</v>
      </c>
      <c r="H7" s="1">
        <v>96</v>
      </c>
      <c r="I7" s="1">
        <v>60</v>
      </c>
      <c r="J7" s="7">
        <v>96</v>
      </c>
    </row>
    <row r="8" spans="2:10" ht="15" thickBot="1" x14ac:dyDescent="0.35">
      <c r="B8" s="8">
        <v>90</v>
      </c>
      <c r="C8" s="9">
        <f t="shared" si="0"/>
        <v>0.9</v>
      </c>
      <c r="D8" s="10" t="s">
        <v>1512</v>
      </c>
      <c r="E8" s="11">
        <v>0</v>
      </c>
      <c r="F8" s="11">
        <v>0.5</v>
      </c>
      <c r="G8" s="11">
        <v>1</v>
      </c>
      <c r="H8" s="10">
        <v>96</v>
      </c>
      <c r="I8" s="10">
        <v>60</v>
      </c>
      <c r="J8" s="12">
        <v>96</v>
      </c>
    </row>
    <row r="9" spans="2:10" ht="15" thickBot="1" x14ac:dyDescent="0.35"/>
    <row r="10" spans="2:10" ht="15" thickBot="1" x14ac:dyDescent="0.35">
      <c r="B10" s="229" t="s">
        <v>1513</v>
      </c>
      <c r="C10" s="230" t="s">
        <v>1568</v>
      </c>
      <c r="E10" s="229" t="s">
        <v>1513</v>
      </c>
      <c r="F10" s="230" t="s">
        <v>1580</v>
      </c>
      <c r="G10" s="236" t="s">
        <v>1581</v>
      </c>
    </row>
    <row r="11" spans="2:10" x14ac:dyDescent="0.3">
      <c r="B11" s="231">
        <v>16000000</v>
      </c>
      <c r="C11" s="232">
        <v>5</v>
      </c>
      <c r="E11" s="231">
        <v>16000000</v>
      </c>
      <c r="F11" s="232" t="s">
        <v>1503</v>
      </c>
      <c r="G11" s="237">
        <v>2</v>
      </c>
    </row>
    <row r="12" spans="2:10" x14ac:dyDescent="0.3">
      <c r="B12" s="13">
        <v>45000000</v>
      </c>
      <c r="C12" s="233">
        <v>6</v>
      </c>
      <c r="E12" s="13">
        <v>300000000</v>
      </c>
      <c r="F12" s="233" t="s">
        <v>19</v>
      </c>
      <c r="G12" s="237">
        <v>3</v>
      </c>
    </row>
    <row r="13" spans="2:10" ht="15" thickBot="1" x14ac:dyDescent="0.35">
      <c r="B13" s="13">
        <v>73000000</v>
      </c>
      <c r="C13" s="14">
        <v>7</v>
      </c>
      <c r="E13" s="234"/>
      <c r="F13" s="15" t="s">
        <v>1504</v>
      </c>
      <c r="G13" s="238">
        <v>4</v>
      </c>
    </row>
    <row r="14" spans="2:10" x14ac:dyDescent="0.3">
      <c r="B14" s="13">
        <v>102000000</v>
      </c>
      <c r="C14" s="14">
        <v>8</v>
      </c>
    </row>
    <row r="15" spans="2:10" x14ac:dyDescent="0.3">
      <c r="B15" s="13">
        <v>130000000</v>
      </c>
      <c r="C15" s="14">
        <v>9</v>
      </c>
    </row>
    <row r="16" spans="2:10" x14ac:dyDescent="0.3">
      <c r="B16" s="13">
        <v>159000000</v>
      </c>
      <c r="C16" s="14">
        <v>10</v>
      </c>
    </row>
    <row r="17" spans="2:5" x14ac:dyDescent="0.3">
      <c r="B17" s="13">
        <v>187000000</v>
      </c>
      <c r="C17" s="14">
        <v>11</v>
      </c>
    </row>
    <row r="18" spans="2:5" x14ac:dyDescent="0.3">
      <c r="B18" s="13">
        <v>216000000</v>
      </c>
      <c r="C18" s="14">
        <v>12</v>
      </c>
    </row>
    <row r="19" spans="2:5" x14ac:dyDescent="0.3">
      <c r="B19" s="13">
        <v>244000000</v>
      </c>
      <c r="C19" s="14">
        <v>13</v>
      </c>
    </row>
    <row r="20" spans="2:5" x14ac:dyDescent="0.3">
      <c r="B20" s="13">
        <v>272000000</v>
      </c>
      <c r="C20" s="14">
        <v>14</v>
      </c>
    </row>
    <row r="21" spans="2:5" x14ac:dyDescent="0.3">
      <c r="B21" s="13">
        <v>300000000</v>
      </c>
      <c r="C21" s="14">
        <v>15</v>
      </c>
    </row>
    <row r="22" spans="2:5" ht="15" thickBot="1" x14ac:dyDescent="0.35">
      <c r="B22" s="234"/>
      <c r="C22" s="15">
        <v>30</v>
      </c>
    </row>
    <row r="23" spans="2:5" x14ac:dyDescent="0.3">
      <c r="B23" s="228" t="s">
        <v>1574</v>
      </c>
      <c r="C23" s="228">
        <f>ROUNDUP(Simulação!F12/2,0)</f>
        <v>0</v>
      </c>
      <c r="D23" s="228"/>
      <c r="E23" s="228"/>
    </row>
    <row r="24" spans="2:5" x14ac:dyDescent="0.3">
      <c r="B24" s="228" t="s">
        <v>1575</v>
      </c>
      <c r="C24" s="228">
        <f>IF(Simulação!N9=0,0,IF(Simulação!N9&lt;='Faixas e condições'!B11,'Faixas e condições'!C11,IF(Simulação!N9&lt;='Faixas e condições'!B12,'Faixas e condições'!C12,IF(Simulação!N9&lt;='Faixas e condições'!B13,'Faixas e condições'!C13,IF(Simulação!N9&lt;='Faixas e condições'!B14,'Faixas e condições'!C14,IF(Simulação!N9&lt;='Faixas e condições'!B15,'Faixas e condições'!C15,IF(Simulação!N9&lt;='Faixas e condições'!B16,'Faixas e condições'!C16,IF(Simulação!N9&lt;='Faixas e condições'!B17,'Faixas e condições'!C17,IF(Simulação!N9&lt;='Faixas e condições'!B18,'Faixas e condições'!C18,IF(Simulação!N9&lt;='Faixas e condições'!B19,'Faixas e condições'!C19,IF(Simulação!N9&lt;='Faixas e condições'!B20,'Faixas e condições'!C20,IF(Simulação!N9&lt;='Faixas e condições'!B21,'Faixas e condições'!C21,'Faixas e condições'!C22))))))))))))</f>
        <v>0</v>
      </c>
      <c r="D24" s="228"/>
      <c r="E24" s="228"/>
    </row>
    <row r="25" spans="2:5" x14ac:dyDescent="0.3">
      <c r="B25" s="404" t="s">
        <v>1579</v>
      </c>
      <c r="C25" s="404"/>
      <c r="D25" s="235" t="str">
        <f>IF(Simulação!O64&gt;=35,"Não",IF(AND(Simulação!N19&lt;&gt;"Selecione",Simulação!N19&lt;&gt;"Não",Simulação!N19&lt;&gt;""),"Não",IF(COUNTIF(IDESE!H3:H8,"Sim")&gt;0,"Não",IF(COUNTIF(IDESE!F3:F8,"Sim")&gt;0,"Não",IF(COUNTIF(IDESE!G3:G8,"Sim")&gt;0,"Não","Sim")))))</f>
        <v>Não</v>
      </c>
      <c r="E25" s="228"/>
    </row>
    <row r="26" spans="2:5" x14ac:dyDescent="0.3">
      <c r="B26" s="228"/>
      <c r="C26" s="228"/>
      <c r="D26" s="228"/>
      <c r="E26" s="228"/>
    </row>
    <row r="27" spans="2:5" x14ac:dyDescent="0.3">
      <c r="B27" s="228"/>
      <c r="C27" s="228"/>
      <c r="D27" s="228"/>
      <c r="E27" s="228"/>
    </row>
    <row r="28" spans="2:5" x14ac:dyDescent="0.3">
      <c r="B28" s="228"/>
      <c r="C28" s="228"/>
      <c r="D28" s="228"/>
      <c r="E28" s="228"/>
    </row>
  </sheetData>
  <sheetProtection algorithmName="SHA-512" hashValue="2LSFPGSADGpnccCp3yGeqHMarqNscISMKkrjHqNSKiwFFgsnREhCCQakosAasEFeYHftR3Wvu2vx9r1fU7F47w==" saltValue="Y2mPL0yjrZz6MD8d7YyN4A==" spinCount="100000" sheet="1" objects="1" scenarios="1"/>
  <mergeCells count="6">
    <mergeCell ref="B25:C25"/>
    <mergeCell ref="B2:B3"/>
    <mergeCell ref="C2:C3"/>
    <mergeCell ref="D2:D3"/>
    <mergeCell ref="H2:J2"/>
    <mergeCell ref="E2:G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Simulação</vt:lpstr>
      <vt:lpstr>CNAEs</vt:lpstr>
      <vt:lpstr>Idese-Corede</vt:lpstr>
      <vt:lpstr>Intensidade tecnológica</vt:lpstr>
      <vt:lpstr>IDESE</vt:lpstr>
      <vt:lpstr>Salário x Empregos</vt:lpstr>
      <vt:lpstr>Impacto ambiental</vt:lpstr>
      <vt:lpstr>Textos</vt:lpstr>
      <vt:lpstr>Faixas e condições</vt:lpstr>
      <vt:lpstr>Base de dados</vt:lpstr>
      <vt:lpstr>Simulação!Area_de_impressao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Vinícius Donato</dc:creator>
  <cp:lastModifiedBy>Vinícius Donato</cp:lastModifiedBy>
  <cp:lastPrinted>2022-02-11T13:41:37Z</cp:lastPrinted>
  <dcterms:created xsi:type="dcterms:W3CDTF">2021-10-25T11:59:31Z</dcterms:created>
  <dcterms:modified xsi:type="dcterms:W3CDTF">2024-01-16T13:19:57Z</dcterms:modified>
</cp:coreProperties>
</file>